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840" windowHeight="13080" tabRatio="874" activeTab="0"/>
  </bookViews>
  <sheets>
    <sheet name="Recap" sheetId="1" r:id="rId1"/>
    <sheet name="Strings non Elem" sheetId="2" r:id="rId2"/>
    <sheet name="Art" sheetId="3" r:id="rId3"/>
    <sheet name="Music" sheetId="4" r:id="rId4"/>
    <sheet name="Vocal" sheetId="5" r:id="rId5"/>
    <sheet name="Band" sheetId="6" r:id="rId6"/>
    <sheet name="Elem Strings" sheetId="7" r:id="rId7"/>
    <sheet name="Grants Donations" sheetId="8" r:id="rId8"/>
    <sheet name="Sheet3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<sst xmlns="http://schemas.openxmlformats.org/spreadsheetml/2006/main" count="642" uniqueCount="98">
  <si>
    <t xml:space="preserve">  Extracurricular (163305)</t>
  </si>
  <si>
    <t xml:space="preserve">  Extracurricular (163307)</t>
  </si>
  <si>
    <t xml:space="preserve">  Extracurricular (163308) Strings</t>
  </si>
  <si>
    <t xml:space="preserve">  Extracurricular (163306)  Orchestra</t>
  </si>
  <si>
    <t>FTE</t>
  </si>
  <si>
    <t xml:space="preserve">   Does Not include Fund 80 - Community Service</t>
  </si>
  <si>
    <t xml:space="preserve">   Grants &amp; Donations are mixed funds between School Funds/District</t>
  </si>
  <si>
    <t xml:space="preserve">      General Revenues</t>
  </si>
  <si>
    <t>All Fine Arts</t>
  </si>
  <si>
    <t xml:space="preserve">  Extracurricular </t>
  </si>
  <si>
    <t xml:space="preserve">Note: </t>
  </si>
  <si>
    <t xml:space="preserve">   2002-03 Staffing did not provide High School breakout of FTE </t>
  </si>
  <si>
    <t xml:space="preserve">   2002-03 Staffing did not provide Middle School breakout of FTE </t>
  </si>
  <si>
    <t xml:space="preserve">   2008-09 Staffing levels in the budget and dollars include all grade levels</t>
  </si>
  <si>
    <t xml:space="preserve">  * 2007-08 Staffing levels have been corrected to include High Schools to be consistent with 2008-09 amd the dollars reflected this already</t>
  </si>
  <si>
    <t>Grants</t>
  </si>
  <si>
    <t>Reimbursable Expenses</t>
  </si>
  <si>
    <t>Donations</t>
  </si>
  <si>
    <t>Capital Donations</t>
  </si>
  <si>
    <t>Instrument Rental</t>
  </si>
  <si>
    <t>Fees</t>
  </si>
  <si>
    <t>Fed/State/Prop Tax</t>
  </si>
  <si>
    <t>Teachers/Admin</t>
  </si>
  <si>
    <t>School Expenses</t>
  </si>
  <si>
    <t>Grant/Donation/Reimbursable Expenditures</t>
  </si>
  <si>
    <t>B.  REVENUES</t>
  </si>
  <si>
    <t>A.  EXPENDITURES</t>
  </si>
  <si>
    <t xml:space="preserve">  Extracurricular</t>
  </si>
  <si>
    <t xml:space="preserve">  Instruction (MS &amp; HS)</t>
  </si>
  <si>
    <t>2001-02</t>
  </si>
  <si>
    <t>Budget</t>
  </si>
  <si>
    <t>Actual</t>
  </si>
  <si>
    <t>2003-04</t>
  </si>
  <si>
    <t>2004-05</t>
  </si>
  <si>
    <t>2005-06</t>
  </si>
  <si>
    <t>2006-07</t>
  </si>
  <si>
    <t>2007-08</t>
  </si>
  <si>
    <t xml:space="preserve">       Salary</t>
  </si>
  <si>
    <t xml:space="preserve">       Benefits</t>
  </si>
  <si>
    <t xml:space="preserve">       Repairs (Formula)</t>
  </si>
  <si>
    <t xml:space="preserve">       Purchased Services (Formula)</t>
  </si>
  <si>
    <t xml:space="preserve">       Supplies/Materials (Formula)</t>
  </si>
  <si>
    <t xml:space="preserve">       Equipment (Formula)</t>
  </si>
  <si>
    <t xml:space="preserve">       Dues/fees (Formula)</t>
  </si>
  <si>
    <t>STRINGS (125600)</t>
  </si>
  <si>
    <t xml:space="preserve">       Other (T&amp;L)</t>
  </si>
  <si>
    <t>ART (121000)</t>
  </si>
  <si>
    <t xml:space="preserve">       Salary (Formula)</t>
  </si>
  <si>
    <t xml:space="preserve">       Benefits (Formula)</t>
  </si>
  <si>
    <t xml:space="preserve">  Instruction (Elem/MS/HS)</t>
  </si>
  <si>
    <t xml:space="preserve">              Purchased Services</t>
  </si>
  <si>
    <t xml:space="preserve">              Repairs</t>
  </si>
  <si>
    <t xml:space="preserve">              Equipment</t>
  </si>
  <si>
    <t xml:space="preserve">              Dues</t>
  </si>
  <si>
    <t>Sales (Projects)</t>
  </si>
  <si>
    <t xml:space="preserve">   </t>
  </si>
  <si>
    <t xml:space="preserve">       Other (T&amp;L) ELM &amp; Fine Arts</t>
  </si>
  <si>
    <t xml:space="preserve">       Equalization Aid</t>
  </si>
  <si>
    <t xml:space="preserve">       Property Tax</t>
  </si>
  <si>
    <t>Total Expenditures</t>
  </si>
  <si>
    <t>Total Revenue</t>
  </si>
  <si>
    <t>Note - No FTE to use to calculate for costing as they were recorded under undifferentiated curriculum until recently for MS &amp; HS</t>
  </si>
  <si>
    <t xml:space="preserve">  Instruction </t>
  </si>
  <si>
    <t>BAND (125500) Elem/MS/HS</t>
  </si>
  <si>
    <t xml:space="preserve">  Instruction</t>
  </si>
  <si>
    <t>VOCAL (125400) Elem/MS/HS</t>
  </si>
  <si>
    <t>MUSIC (125000-125300) Elem/MS/HS</t>
  </si>
  <si>
    <t xml:space="preserve">              Supplies/Materials</t>
  </si>
  <si>
    <t xml:space="preserve">  Extracurricular - Orchestra</t>
  </si>
  <si>
    <t xml:space="preserve">   Beginning with 2003-04 Actual Staffing was recorded to program area (by Function) </t>
  </si>
  <si>
    <t>2008-09</t>
  </si>
  <si>
    <t>FTE = Budget FTE for Teachers with Average Salary and Fringe Cost per FTE to calculate the Actual Cost</t>
  </si>
  <si>
    <t xml:space="preserve">   2002-03 $51,651</t>
  </si>
  <si>
    <t xml:space="preserve">   2003-04 $64,486</t>
  </si>
  <si>
    <t>Net Revenue to Expenditures</t>
  </si>
  <si>
    <t xml:space="preserve">   *Revised 2007-08 Staffing levels that include all grade levels and will be consistent with 2008-09</t>
  </si>
  <si>
    <t xml:space="preserve">   2008-09 Proposed Budget does not include any Grants or Donations at this time 4/24/08</t>
  </si>
  <si>
    <t xml:space="preserve">   2003-04 Staffing did not provide Middle School break out of FTE</t>
  </si>
  <si>
    <t xml:space="preserve">   2002-03 includes all Elem Staffing Costs for Vocal, Band, &amp; Music</t>
  </si>
  <si>
    <t xml:space="preserve">   2003-04 Staffing did not provide Hgih School breakout of FTE</t>
  </si>
  <si>
    <t xml:space="preserve">   2003-04 Staffing did not provide High School breakout of FTE</t>
  </si>
  <si>
    <t xml:space="preserve">   2005-06 Staffing did not provide High School breakout of FTE</t>
  </si>
  <si>
    <t xml:space="preserve">   2005-06 includes all Elem Staffing Costs for Vocal, Band, &amp; Music</t>
  </si>
  <si>
    <t xml:space="preserve">   2005-06 Staffing did not provide Middle School breakout of FTE</t>
  </si>
  <si>
    <t xml:space="preserve">   2003-04 includes all Elem Staffing Costs for Vocal, Band &amp; Music</t>
  </si>
  <si>
    <t xml:space="preserve">   2004-05 Staffing did not provide High School breakout of FTE</t>
  </si>
  <si>
    <t xml:space="preserve">   2004-05 includes all Elem Staffing Costs for Vocal, Band, &amp; Music</t>
  </si>
  <si>
    <t xml:space="preserve">   2004-05 Staffing did not provide Middle School breakout of FTE</t>
  </si>
  <si>
    <t xml:space="preserve">   2006-07 Staffing did not provide High School breakout of FTE</t>
  </si>
  <si>
    <t xml:space="preserve">   2007-08 Staffing did not provide High School breakout of FTE</t>
  </si>
  <si>
    <t>Note:  FTE from Staffing Turned in by School level requests</t>
  </si>
  <si>
    <t xml:space="preserve">   2006-07 Staffing levels from budget  not building staffing levels</t>
  </si>
  <si>
    <t xml:space="preserve">   2007-08 Staffing levels from budget  not building staffing levels</t>
  </si>
  <si>
    <t xml:space="preserve">   2006-07 Gen Music FTE included in other MS/HS areas</t>
  </si>
  <si>
    <t xml:space="preserve">   2007-08 Gen Music FTE included in other MS/HS areas</t>
  </si>
  <si>
    <t xml:space="preserve">   2006-07 Staffing levels do not include High School to be consistent with other years</t>
  </si>
  <si>
    <t xml:space="preserve">   Fine Arts Administrator not identified in 2001-02, 2002-03, 2003-04 (Actuals)</t>
  </si>
  <si>
    <t>General Notes: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</si>
</sst>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000_);_(* \(#,##0.0000\);_(* &quot;-&quot;??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Fill="1" applyAlignment="1">
      <alignment/>
    </xf>
    <xf numFmtId="43" fontId="0" fillId="0" borderId="0" xfId="15" applyAlignment="1">
      <alignment/>
    </xf>
    <xf numFmtId="43" fontId="0" fillId="0" borderId="0" xfId="15" applyFill="1" applyAlignment="1">
      <alignment/>
    </xf>
    <xf numFmtId="43" fontId="0" fillId="0" borderId="0" xfId="15" applyFont="1" applyAlignment="1">
      <alignment/>
    </xf>
    <xf numFmtId="43" fontId="0" fillId="0" borderId="0" xfId="15" applyFont="1" applyFill="1" applyAlignment="1">
      <alignment/>
    </xf>
    <xf numFmtId="0" fontId="3" fillId="0" borderId="0" xfId="0" applyFont="1" applyAlignment="1">
      <alignment/>
    </xf>
    <xf numFmtId="43" fontId="3" fillId="0" borderId="2" xfId="0" applyNumberFormat="1" applyFont="1" applyBorder="1" applyAlignment="1">
      <alignment/>
    </xf>
    <xf numFmtId="43" fontId="0" fillId="0" borderId="0" xfId="0" applyNumberFormat="1" applyAlignment="1">
      <alignment/>
    </xf>
    <xf numFmtId="43" fontId="3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tabSelected="1" zoomScale="75" zoomScaleNormal="75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2" sqref="F52"/>
    </sheetView>
  </sheetViews>
  <sheetFormatPr defaultColWidth="11.00390625" defaultRowHeight="12.75"/>
  <cols>
    <col min="1" max="1" width="30.75390625" style="0" customWidth="1"/>
    <col min="2" max="2" width="9.625" style="0" bestFit="1" customWidth="1"/>
    <col min="3" max="5" width="15.00390625" style="0" bestFit="1" customWidth="1"/>
    <col min="6" max="8" width="15.375" style="0" bestFit="1" customWidth="1"/>
    <col min="9" max="9" width="15.00390625" style="0" bestFit="1" customWidth="1"/>
    <col min="10" max="10" width="15.375" style="0" bestFit="1" customWidth="1"/>
    <col min="11" max="11" width="10.375" style="0" customWidth="1"/>
    <col min="12" max="13" width="15.375" style="0" bestFit="1" customWidth="1"/>
    <col min="14" max="14" width="12.375" style="0" customWidth="1"/>
    <col min="15" max="15" width="15.375" style="0" bestFit="1" customWidth="1"/>
    <col min="16" max="16" width="12.375" style="0" customWidth="1"/>
    <col min="17" max="17" width="15.37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8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40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2:40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2.75">
      <c r="A5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2.75">
      <c r="A6" t="s">
        <v>37</v>
      </c>
      <c r="B6" s="8">
        <f>+'Strings non Elem'!C6+Art!B6+Music!B6+Vocal!B6+Band!B6+'Elem Strings'!B6+'Grants Donations'!B6</f>
        <v>121.3</v>
      </c>
      <c r="C6" s="8">
        <f>+'Strings non Elem'!D6+Art!C6+Music!C6+Vocal!C6+Band!C6+'Elem Strings'!C6+'Grants Donations'!C6</f>
        <v>3735207.8000000003</v>
      </c>
      <c r="D6" s="8">
        <f>+'Strings non Elem'!E6+Art!D6+Music!D6+Vocal!D6+Band!D6+'Elem Strings'!D6+'Grants Donations'!D6</f>
        <v>7822753.17</v>
      </c>
      <c r="E6" s="8">
        <f>+'Strings non Elem'!F6+Art!E6+Music!E6+Vocal!E6+Band!E6+'Elem Strings'!E6+'Grants Donations'!E6</f>
        <v>126.82</v>
      </c>
      <c r="F6" s="8">
        <f>+'Strings non Elem'!G6+Art!F6+Music!F6+Vocal!F6+Band!F6+'Elem Strings'!F6+'Grants Donations'!F6</f>
        <v>7411391</v>
      </c>
      <c r="G6" s="8">
        <f>+'Strings non Elem'!H6+Art!G6+Music!G6+Vocal!G6+Band!G6+'Elem Strings'!G6+'Grants Donations'!G6</f>
        <v>6103848.26</v>
      </c>
      <c r="H6" s="8">
        <f>+'Strings non Elem'!I6+Art!H6+Music!H6+Vocal!H6+Band!H6+'Elem Strings'!H6+'Grants Donations'!H6</f>
        <v>119.47</v>
      </c>
      <c r="I6" s="8">
        <f>+'Strings non Elem'!J6+Art!I6+Music!I6+Vocal!I6+Band!I6+'Elem Strings'!I6+'Grants Donations'!I6</f>
        <v>6306194</v>
      </c>
      <c r="J6" s="8">
        <f>+'Strings non Elem'!K6+Art!J6+Music!J6+Vocal!J6+Band!J6+'Elem Strings'!J6+'Grants Donations'!J6</f>
        <v>5892806.02</v>
      </c>
      <c r="K6" s="8">
        <f>+'Strings non Elem'!L6+Art!K6+Music!K6+Vocal!K6+Band!K6+'Elem Strings'!K6+'Grants Donations'!K6</f>
        <v>108.32000000000001</v>
      </c>
      <c r="L6" s="8">
        <f>+'Strings non Elem'!M6+Art!L6+Music!L6+Vocal!L6+Band!L6+'Elem Strings'!L6+'Grants Donations'!L6</f>
        <v>5987313.819999999</v>
      </c>
      <c r="M6" s="8">
        <f>+'Strings non Elem'!N6+Art!M6+Music!M6+Vocal!M6+Band!M6+'Elem Strings'!M6+'Grants Donations'!M6</f>
        <v>5875389.84</v>
      </c>
      <c r="N6" s="8">
        <f>+'Strings non Elem'!O6+Art!N6+Music!N6+Vocal!N6+Band!N6+'Elem Strings'!N6+'Grants Donations'!N6</f>
        <v>110.28000000000003</v>
      </c>
      <c r="O6" s="8">
        <f>+'Strings non Elem'!P6+Art!O6+Music!O6+Vocal!O6+Band!O6+'Elem Strings'!O6+'Grants Donations'!O6</f>
        <v>5882921.98</v>
      </c>
      <c r="P6" s="8">
        <f>+'Strings non Elem'!Q6+Art!P6+Music!P6+Vocal!P6+Band!P6+'Elem Strings'!P6+'Grants Donations'!P6</f>
        <v>111.39000000000001</v>
      </c>
      <c r="Q6" s="8">
        <f>+'Strings non Elem'!R6+Art!Q6+Music!Q6+Vocal!Q6+Band!Q6+'Elem Strings'!Q6+'Grants Donations'!Q6</f>
        <v>5892171.9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t="s">
        <v>38</v>
      </c>
      <c r="B7" s="8">
        <f>+'Strings non Elem'!C7+Art!B7+Music!B7+Vocal!B7+Band!B7+'Elem Strings'!B7+'Grants Donations'!B7</f>
        <v>0</v>
      </c>
      <c r="C7" s="8">
        <f>+'Strings non Elem'!D7+Art!C7+Music!C7+Vocal!C7+Band!C7+'Elem Strings'!C7+'Grants Donations'!C7</f>
        <v>1112322.8</v>
      </c>
      <c r="D7" s="8">
        <f>+'Strings non Elem'!E7+Art!D7+Music!D7+Vocal!D7+Band!D7+'Elem Strings'!D7+'Grants Donations'!D7</f>
        <v>102.27</v>
      </c>
      <c r="E7" s="8">
        <f>+'Strings non Elem'!F7+Art!E7+Music!E7+Vocal!E7+Band!E7+'Elem Strings'!E7+'Grants Donations'!E7</f>
        <v>0</v>
      </c>
      <c r="F7" s="8">
        <f>+'Strings non Elem'!G7+Art!F7+Music!F7+Vocal!F7+Band!F7+'Elem Strings'!F7+'Grants Donations'!F7</f>
        <v>2275558.02</v>
      </c>
      <c r="G7" s="8">
        <f>+'Strings non Elem'!H7+Art!G7+Music!G7+Vocal!G7+Band!G7+'Elem Strings'!G7+'Grants Donations'!G7</f>
        <v>2454344.77</v>
      </c>
      <c r="H7" s="8">
        <f>+'Strings non Elem'!I7+Art!H7+Music!H7+Vocal!H7+Band!H7+'Elem Strings'!H7+'Grants Donations'!H7</f>
        <v>0</v>
      </c>
      <c r="I7" s="8">
        <f>+'Strings non Elem'!J7+Art!I7+Music!I7+Vocal!I7+Band!I7+'Elem Strings'!I7+'Grants Donations'!I7</f>
        <v>2627471</v>
      </c>
      <c r="J7" s="8">
        <f>+'Strings non Elem'!K7+Art!J7+Music!J7+Vocal!J7+Band!J7+'Elem Strings'!J7+'Grants Donations'!J7</f>
        <v>2559241.68</v>
      </c>
      <c r="K7" s="8">
        <f>+'Strings non Elem'!L7+Art!K7+Music!K7+Vocal!K7+Band!K7+'Elem Strings'!K7+'Grants Donations'!K7</f>
        <v>0</v>
      </c>
      <c r="L7" s="8">
        <f>+'Strings non Elem'!M7+Art!L7+Music!L7+Vocal!L7+Band!L7+'Elem Strings'!L7+'Grants Donations'!L7</f>
        <v>2674752.9800000004</v>
      </c>
      <c r="M7" s="8">
        <f>+'Strings non Elem'!N7+Art!M7+Music!M7+Vocal!M7+Band!M7+'Elem Strings'!M7+'Grants Donations'!M7</f>
        <v>2607140.82</v>
      </c>
      <c r="N7" s="8">
        <f>+'Strings non Elem'!O7+Art!N7+Music!N7+Vocal!N7+Band!N7+'Elem Strings'!N7+'Grants Donations'!N7</f>
        <v>0</v>
      </c>
      <c r="O7" s="8">
        <f>+'Strings non Elem'!P7+Art!O7+Music!O7+Vocal!O7+Band!O7+'Elem Strings'!O7+'Grants Donations'!O7</f>
        <v>2671227</v>
      </c>
      <c r="P7" s="8">
        <f>+'Strings non Elem'!Q7+Art!P7+Music!P7+Vocal!P7+Band!P7+'Elem Strings'!P7+'Grants Donations'!P7</f>
        <v>0</v>
      </c>
      <c r="Q7" s="8">
        <f>+'Strings non Elem'!R7+Art!Q7+Music!Q7+Vocal!Q7+Band!Q7+'Elem Strings'!Q7+'Grants Donations'!Q7</f>
        <v>2642759.2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2:40" ht="12.75">
      <c r="B8" s="8">
        <f>+'Strings non Elem'!C8+Art!B8+Music!B8+Vocal!B8+Band!B8+'Elem Strings'!B8+'Grants Donations'!B8</f>
        <v>0</v>
      </c>
      <c r="C8" s="8">
        <f>+'Strings non Elem'!D8+Art!C8+Music!C8+Vocal!C8+Band!C8+'Elem Strings'!C8+'Grants Donations'!C8</f>
        <v>0</v>
      </c>
      <c r="D8" s="8">
        <f>+'Strings non Elem'!E8+Art!D8+Music!D8+Vocal!D8+Band!D8+'Elem Strings'!D8+'Grants Donations'!D8</f>
        <v>0</v>
      </c>
      <c r="E8" s="8">
        <f>+'Strings non Elem'!F8+Art!E8+Music!E8+Vocal!E8+Band!E8+'Elem Strings'!E8+'Grants Donations'!E8</f>
        <v>0</v>
      </c>
      <c r="F8" s="8">
        <f>+'Strings non Elem'!G8+Art!F8+Music!F8+Vocal!F8+Band!F8+'Elem Strings'!F8+'Grants Donations'!F8</f>
        <v>0</v>
      </c>
      <c r="G8" s="8">
        <f>+'Strings non Elem'!H8+Art!G8+Music!G8+Vocal!G8+Band!G8+'Elem Strings'!G8+'Grants Donations'!G8</f>
        <v>0</v>
      </c>
      <c r="H8" s="8">
        <f>+'Strings non Elem'!I8+Art!H8+Music!H8+Vocal!H8+Band!H8+'Elem Strings'!H8+'Grants Donations'!H8</f>
        <v>0</v>
      </c>
      <c r="I8" s="8">
        <f>+'Strings non Elem'!J8+Art!I8+Music!I8+Vocal!I8+Band!I8+'Elem Strings'!I8+'Grants Donations'!I8</f>
        <v>0</v>
      </c>
      <c r="J8" s="8">
        <f>+'Strings non Elem'!K8+Art!J8+Music!J8+Vocal!J8+Band!J8+'Elem Strings'!J8+'Grants Donations'!J8</f>
        <v>0</v>
      </c>
      <c r="K8" s="8">
        <f>+'Strings non Elem'!L8+Art!K8+Music!K8+Vocal!K8+Band!K8+'Elem Strings'!K8+'Grants Donations'!K8</f>
        <v>0</v>
      </c>
      <c r="L8" s="8">
        <f>+'Strings non Elem'!M8+Art!L8+Music!L8+Vocal!L8+Band!L8+'Elem Strings'!L8+'Grants Donations'!L8</f>
        <v>0</v>
      </c>
      <c r="M8" s="8">
        <f>+'Strings non Elem'!N8+Art!M8+Music!M8+Vocal!M8+Band!M8+'Elem Strings'!M8+'Grants Donations'!M8</f>
        <v>0</v>
      </c>
      <c r="N8" s="8">
        <f>+'Strings non Elem'!O8+Art!N8+Music!N8+Vocal!N8+Band!N8+'Elem Strings'!N8+'Grants Donations'!N8</f>
        <v>0</v>
      </c>
      <c r="O8" s="8">
        <f>+'Strings non Elem'!P8+Art!O8+Music!O8+Vocal!O8+Band!O8+'Elem Strings'!O8+'Grants Donations'!O8</f>
        <v>0</v>
      </c>
      <c r="P8" s="8">
        <f>+'Strings non Elem'!Q8+Art!P8+Music!P8+Vocal!P8+Band!P8+'Elem Strings'!P8+'Grants Donations'!P8</f>
        <v>0</v>
      </c>
      <c r="Q8" s="8">
        <f>+'Strings non Elem'!R8+Art!Q8+Music!Q8+Vocal!Q8+Band!Q8+'Elem Strings'!Q8+'Grants Donations'!Q8</f>
        <v>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2.75">
      <c r="A9" t="s">
        <v>23</v>
      </c>
      <c r="B9" s="8">
        <f>+'Strings non Elem'!C9+Art!B9+Music!B9+Vocal!B9+Band!B9+'Elem Strings'!B9+'Grants Donations'!B9</f>
        <v>0</v>
      </c>
      <c r="C9" s="8">
        <f>+'Strings non Elem'!D9+Art!C9+Music!C9+Vocal!C9+Band!C9+'Elem Strings'!C9+'Grants Donations'!C9</f>
        <v>0</v>
      </c>
      <c r="D9" s="8">
        <f>+'Strings non Elem'!E9+Art!D9+Music!D9+Vocal!D9+Band!D9+'Elem Strings'!D9+'Grants Donations'!D9</f>
        <v>0</v>
      </c>
      <c r="E9" s="8">
        <f>+'Strings non Elem'!F9+Art!E9+Music!E9+Vocal!E9+Band!E9+'Elem Strings'!E9+'Grants Donations'!E9</f>
        <v>0</v>
      </c>
      <c r="F9" s="8">
        <f>+'Strings non Elem'!G9+Art!F9+Music!F9+Vocal!F9+Band!F9+'Elem Strings'!F9+'Grants Donations'!F9</f>
        <v>0</v>
      </c>
      <c r="G9" s="8">
        <f>+'Strings non Elem'!H9+Art!G9+Music!G9+Vocal!G9+Band!G9+'Elem Strings'!G9+'Grants Donations'!G9</f>
        <v>0</v>
      </c>
      <c r="H9" s="8">
        <f>+'Strings non Elem'!I9+Art!H9+Music!H9+Vocal!H9+Band!H9+'Elem Strings'!H9+'Grants Donations'!H9</f>
        <v>0</v>
      </c>
      <c r="I9" s="8">
        <f>+'Strings non Elem'!J9+Art!I9+Music!I9+Vocal!I9+Band!I9+'Elem Strings'!I9+'Grants Donations'!I9</f>
        <v>0</v>
      </c>
      <c r="J9" s="8">
        <f>+'Strings non Elem'!K9+Art!J9+Music!J9+Vocal!J9+Band!J9+'Elem Strings'!J9+'Grants Donations'!J9</f>
        <v>0</v>
      </c>
      <c r="K9" s="8">
        <f>+'Strings non Elem'!L9+Art!K9+Music!K9+Vocal!K9+Band!K9+'Elem Strings'!K9+'Grants Donations'!K9</f>
        <v>0</v>
      </c>
      <c r="L9" s="8">
        <f>+'Strings non Elem'!M9+Art!L9+Music!L9+Vocal!L9+Band!L9+'Elem Strings'!L9+'Grants Donations'!L9</f>
        <v>0</v>
      </c>
      <c r="M9" s="8">
        <f>+'Strings non Elem'!N9+Art!M9+Music!M9+Vocal!M9+Band!M9+'Elem Strings'!M9+'Grants Donations'!M9</f>
        <v>0</v>
      </c>
      <c r="N9" s="8">
        <f>+'Strings non Elem'!O9+Art!N9+Music!N9+Vocal!N9+Band!N9+'Elem Strings'!N9+'Grants Donations'!N9</f>
        <v>0</v>
      </c>
      <c r="O9" s="8">
        <f>+'Strings non Elem'!P9+Art!O9+Music!O9+Vocal!O9+Band!O9+'Elem Strings'!O9+'Grants Donations'!O9</f>
        <v>0</v>
      </c>
      <c r="P9" s="8">
        <f>+'Strings non Elem'!Q9+Art!P9+Music!P9+Vocal!P9+Band!P9+'Elem Strings'!P9+'Grants Donations'!P9</f>
        <v>0</v>
      </c>
      <c r="Q9" s="8">
        <f>+'Strings non Elem'!R9+Art!Q9+Music!Q9+Vocal!Q9+Band!Q9+'Elem Strings'!Q9+'Grants Donations'!Q9</f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1" customFormat="1" ht="12.75">
      <c r="A10" s="1" t="s">
        <v>28</v>
      </c>
      <c r="B10" s="8">
        <f>+'Strings non Elem'!C10+Art!B10+Music!B10+Vocal!B10+Band!B10+'Elem Strings'!B10+'Grants Donations'!B10</f>
        <v>0</v>
      </c>
      <c r="C10" s="8">
        <f>+'Strings non Elem'!D10+Art!C10+Music!C10+Vocal!C10+Band!C10+'Elem Strings'!C10+'Grants Donations'!C10</f>
        <v>0</v>
      </c>
      <c r="D10" s="8">
        <f>+'Strings non Elem'!E10+Art!D10+Music!D10+Vocal!D10+Band!D10+'Elem Strings'!D10+'Grants Donations'!D10</f>
        <v>0</v>
      </c>
      <c r="E10" s="8">
        <f>+'Strings non Elem'!F10+Art!E10+Music!E10+Vocal!E10+Band!E10+'Elem Strings'!E10+'Grants Donations'!E10</f>
        <v>0</v>
      </c>
      <c r="F10" s="8">
        <f>+'Strings non Elem'!G10+Art!F10+Music!F10+Vocal!F10+Band!F10+'Elem Strings'!F10+'Grants Donations'!F10</f>
        <v>0</v>
      </c>
      <c r="G10" s="8">
        <f>+'Strings non Elem'!H10+Art!G10+Music!G10+Vocal!G10+Band!G10+'Elem Strings'!G10+'Grants Donations'!G10</f>
        <v>0</v>
      </c>
      <c r="H10" s="8">
        <f>+'Strings non Elem'!I10+Art!H10+Music!H10+Vocal!H10+Band!H10+'Elem Strings'!H10+'Grants Donations'!H10</f>
        <v>0</v>
      </c>
      <c r="I10" s="8">
        <f>+'Strings non Elem'!J10+Art!I10+Music!I10+Vocal!I10+Band!I10+'Elem Strings'!I10+'Grants Donations'!I10</f>
        <v>0</v>
      </c>
      <c r="J10" s="8">
        <f>+'Strings non Elem'!K10+Art!J10+Music!J10+Vocal!J10+Band!J10+'Elem Strings'!J10+'Grants Donations'!J10</f>
        <v>0</v>
      </c>
      <c r="K10" s="8">
        <f>+'Strings non Elem'!L10+Art!K10+Music!K10+Vocal!K10+Band!K10+'Elem Strings'!K10+'Grants Donations'!K10</f>
        <v>0</v>
      </c>
      <c r="L10" s="8">
        <f>+'Strings non Elem'!M10+Art!L10+Music!L10+Vocal!L10+Band!L10+'Elem Strings'!L10+'Grants Donations'!L10</f>
        <v>0</v>
      </c>
      <c r="M10" s="8">
        <f>+'Strings non Elem'!N10+Art!M10+Music!M10+Vocal!M10+Band!M10+'Elem Strings'!M10+'Grants Donations'!M10</f>
        <v>0</v>
      </c>
      <c r="N10" s="8">
        <f>+'Strings non Elem'!O10+Art!N10+Music!N10+Vocal!N10+Band!N10+'Elem Strings'!N10+'Grants Donations'!N10</f>
        <v>0</v>
      </c>
      <c r="O10" s="8">
        <f>+'Strings non Elem'!P10+Art!O10+Music!O10+Vocal!O10+Band!O10+'Elem Strings'!O10+'Grants Donations'!O10</f>
        <v>0</v>
      </c>
      <c r="P10" s="8">
        <f>+'Strings non Elem'!Q10+Art!P10+Music!P10+Vocal!P10+Band!P10+'Elem Strings'!P10+'Grants Donations'!P10</f>
        <v>0</v>
      </c>
      <c r="Q10" s="8">
        <f>+'Strings non Elem'!R10+Art!Q10+Music!Q10+Vocal!Q10+Band!Q10+'Elem Strings'!Q10+'Grants Donations'!Q10</f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1" customFormat="1" ht="12.75">
      <c r="A11" s="1" t="s">
        <v>47</v>
      </c>
      <c r="B11" s="8">
        <f>+'Strings non Elem'!C11+Art!B11+Music!B11+Vocal!B11+Band!B11+'Elem Strings'!B11+'Grants Donations'!B11</f>
        <v>0</v>
      </c>
      <c r="C11" s="8">
        <f>+'Strings non Elem'!D11+Art!C11+Music!C11+Vocal!C11+Band!C11+'Elem Strings'!C11+'Grants Donations'!C11</f>
        <v>0</v>
      </c>
      <c r="D11" s="8">
        <f>+'Strings non Elem'!E11+Art!D11+Music!D11+Vocal!D11+Band!D11+'Elem Strings'!D11+'Grants Donations'!D11</f>
        <v>0</v>
      </c>
      <c r="E11" s="8">
        <f>+'Strings non Elem'!F11+Art!E11+Music!E11+Vocal!E11+Band!E11+'Elem Strings'!E11+'Grants Donations'!E11</f>
        <v>0</v>
      </c>
      <c r="F11" s="8">
        <f>+'Strings non Elem'!G11+Art!F11+Music!F11+Vocal!F11+Band!F11+'Elem Strings'!F11+'Grants Donations'!F11</f>
        <v>968</v>
      </c>
      <c r="G11" s="8">
        <f>+'Strings non Elem'!H11+Art!G11+Music!G11+Vocal!G11+Band!G11+'Elem Strings'!G11+'Grants Donations'!G11</f>
        <v>0</v>
      </c>
      <c r="H11" s="8">
        <f>+'Strings non Elem'!I11+Art!H11+Music!H11+Vocal!H11+Band!H11+'Elem Strings'!H11+'Grants Donations'!H11</f>
        <v>0</v>
      </c>
      <c r="I11" s="8">
        <f>+'Strings non Elem'!J11+Art!I11+Music!I11+Vocal!I11+Band!I11+'Elem Strings'!I11+'Grants Donations'!I11</f>
        <v>0</v>
      </c>
      <c r="J11" s="8">
        <f>+'Strings non Elem'!K11+Art!J11+Music!J11+Vocal!J11+Band!J11+'Elem Strings'!J11+'Grants Donations'!J11</f>
        <v>279</v>
      </c>
      <c r="K11" s="8">
        <f>+'Strings non Elem'!L11+Art!K11+Music!K11+Vocal!K11+Band!K11+'Elem Strings'!K11+'Grants Donations'!K11</f>
        <v>0</v>
      </c>
      <c r="L11" s="8">
        <f>+'Strings non Elem'!M11+Art!L11+Music!L11+Vocal!L11+Band!L11+'Elem Strings'!L11+'Grants Donations'!L11</f>
        <v>0</v>
      </c>
      <c r="M11" s="8">
        <f>+'Strings non Elem'!N11+Art!M11+Music!M11+Vocal!M11+Band!M11+'Elem Strings'!M11+'Grants Donations'!M11</f>
        <v>641</v>
      </c>
      <c r="N11" s="8">
        <f>+'Strings non Elem'!O11+Art!N11+Music!N11+Vocal!N11+Band!N11+'Elem Strings'!N11+'Grants Donations'!N11</f>
        <v>0</v>
      </c>
      <c r="O11" s="8">
        <f>+'Strings non Elem'!P11+Art!O11+Music!O11+Vocal!O11+Band!O11+'Elem Strings'!O11+'Grants Donations'!O11</f>
        <v>0</v>
      </c>
      <c r="P11" s="8">
        <f>+'Strings non Elem'!Q11+Art!P11+Music!P11+Vocal!P11+Band!P11+'Elem Strings'!P11+'Grants Donations'!P11</f>
        <v>0</v>
      </c>
      <c r="Q11" s="8">
        <f>+'Strings non Elem'!R11+Art!Q11+Music!Q11+Vocal!Q11+Band!Q11+'Elem Strings'!Q11+'Grants Donations'!Q11</f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1" customFormat="1" ht="12.75">
      <c r="A12" s="1" t="s">
        <v>48</v>
      </c>
      <c r="B12" s="8">
        <f>+'Strings non Elem'!C12+Art!B12+Music!B12+Vocal!B12+Band!B12+'Elem Strings'!B12+'Grants Donations'!B12</f>
        <v>0</v>
      </c>
      <c r="C12" s="8">
        <f>+'Strings non Elem'!D12+Art!C12+Music!C12+Vocal!C12+Band!C12+'Elem Strings'!C12+'Grants Donations'!C12</f>
        <v>0</v>
      </c>
      <c r="D12" s="8">
        <f>+'Strings non Elem'!E12+Art!D12+Music!D12+Vocal!D12+Band!D12+'Elem Strings'!D12+'Grants Donations'!D12</f>
        <v>0</v>
      </c>
      <c r="E12" s="8">
        <f>+'Strings non Elem'!F12+Art!E12+Music!E12+Vocal!E12+Band!E12+'Elem Strings'!E12+'Grants Donations'!E12</f>
        <v>0</v>
      </c>
      <c r="F12" s="8">
        <f>+'Strings non Elem'!G12+Art!F12+Music!F12+Vocal!F12+Band!F12+'Elem Strings'!F12+'Grants Donations'!F12</f>
        <v>0</v>
      </c>
      <c r="G12" s="8">
        <f>+'Strings non Elem'!H12+Art!G12+Music!G12+Vocal!G12+Band!G12+'Elem Strings'!G12+'Grants Donations'!G12</f>
        <v>0</v>
      </c>
      <c r="H12" s="8">
        <f>+'Strings non Elem'!I12+Art!H12+Music!H12+Vocal!H12+Band!H12+'Elem Strings'!H12+'Grants Donations'!H12</f>
        <v>0</v>
      </c>
      <c r="I12" s="8">
        <f>+'Strings non Elem'!J12+Art!I12+Music!I12+Vocal!I12+Band!I12+'Elem Strings'!I12+'Grants Donations'!I12</f>
        <v>0</v>
      </c>
      <c r="J12" s="8">
        <f>+'Strings non Elem'!K12+Art!J12+Music!J12+Vocal!J12+Band!J12+'Elem Strings'!J12+'Grants Donations'!J12</f>
        <v>53</v>
      </c>
      <c r="K12" s="8">
        <f>+'Strings non Elem'!L12+Art!K12+Music!K12+Vocal!K12+Band!K12+'Elem Strings'!K12+'Grants Donations'!K12</f>
        <v>0</v>
      </c>
      <c r="L12" s="8">
        <f>+'Strings non Elem'!M12+Art!L12+Music!L12+Vocal!L12+Band!L12+'Elem Strings'!L12+'Grants Donations'!L12</f>
        <v>0</v>
      </c>
      <c r="M12" s="8">
        <f>+'Strings non Elem'!N12+Art!M12+Music!M12+Vocal!M12+Band!M12+'Elem Strings'!M12+'Grants Donations'!M12</f>
        <v>86</v>
      </c>
      <c r="N12" s="8">
        <f>+'Strings non Elem'!O12+Art!N12+Music!N12+Vocal!N12+Band!N12+'Elem Strings'!N12+'Grants Donations'!N12</f>
        <v>0</v>
      </c>
      <c r="O12" s="8">
        <f>+'Strings non Elem'!P12+Art!O12+Music!O12+Vocal!O12+Band!O12+'Elem Strings'!O12+'Grants Donations'!O12</f>
        <v>0</v>
      </c>
      <c r="P12" s="8">
        <f>+'Strings non Elem'!Q12+Art!P12+Music!P12+Vocal!P12+Band!P12+'Elem Strings'!P12+'Grants Donations'!P12</f>
        <v>0</v>
      </c>
      <c r="Q12" s="8">
        <f>+'Strings non Elem'!R12+Art!Q12+Music!Q12+Vocal!Q12+Band!Q12+'Elem Strings'!Q12+'Grants Donations'!Q12</f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1" customFormat="1" ht="12.75">
      <c r="A13" s="1" t="s">
        <v>40</v>
      </c>
      <c r="B13" s="8">
        <f>+'Strings non Elem'!C13+Art!B13+Music!B13+Vocal!B13+Band!B13+'Elem Strings'!B13+'Grants Donations'!B13</f>
        <v>0</v>
      </c>
      <c r="C13" s="8">
        <f>+'Strings non Elem'!D13+Art!C13+Music!C13+Vocal!C13+Band!C13+'Elem Strings'!C13+'Grants Donations'!C13</f>
        <v>11605.400000000001</v>
      </c>
      <c r="D13" s="8">
        <f>+'Strings non Elem'!E13+Art!D13+Music!D13+Vocal!D13+Band!D13+'Elem Strings'!D13+'Grants Donations'!D13</f>
        <v>6717.300000000001</v>
      </c>
      <c r="E13" s="8">
        <f>+'Strings non Elem'!F13+Art!E13+Music!E13+Vocal!E13+Band!E13+'Elem Strings'!E13+'Grants Donations'!E13</f>
        <v>0</v>
      </c>
      <c r="F13" s="8">
        <f>+'Strings non Elem'!G13+Art!F13+Music!F13+Vocal!F13+Band!F13+'Elem Strings'!F13+'Grants Donations'!F13</f>
        <v>5772</v>
      </c>
      <c r="G13" s="8">
        <f>+'Strings non Elem'!H13+Art!G13+Music!G13+Vocal!G13+Band!G13+'Elem Strings'!G13+'Grants Donations'!G13</f>
        <v>8439</v>
      </c>
      <c r="H13" s="8">
        <f>+'Strings non Elem'!I13+Art!H13+Music!H13+Vocal!H13+Band!H13+'Elem Strings'!H13+'Grants Donations'!H13</f>
        <v>0</v>
      </c>
      <c r="I13" s="8">
        <f>+'Strings non Elem'!J13+Art!I13+Music!I13+Vocal!I13+Band!I13+'Elem Strings'!I13+'Grants Donations'!I13</f>
        <v>10576</v>
      </c>
      <c r="J13" s="8">
        <f>+'Strings non Elem'!K13+Art!J13+Music!J13+Vocal!J13+Band!J13+'Elem Strings'!J13+'Grants Donations'!J13</f>
        <v>8839</v>
      </c>
      <c r="K13" s="8">
        <f>+'Strings non Elem'!L13+Art!K13+Music!K13+Vocal!K13+Band!K13+'Elem Strings'!K13+'Grants Donations'!K13</f>
        <v>0</v>
      </c>
      <c r="L13" s="8">
        <f>+'Strings non Elem'!M13+Art!L13+Music!L13+Vocal!L13+Band!L13+'Elem Strings'!L13+'Grants Donations'!L13</f>
        <v>9443</v>
      </c>
      <c r="M13" s="8">
        <f>+'Strings non Elem'!N13+Art!M13+Music!M13+Vocal!M13+Band!M13+'Elem Strings'!M13+'Grants Donations'!M13</f>
        <v>7307</v>
      </c>
      <c r="N13" s="8">
        <f>+'Strings non Elem'!O13+Art!N13+Music!N13+Vocal!N13+Band!N13+'Elem Strings'!N13+'Grants Donations'!N13</f>
        <v>0</v>
      </c>
      <c r="O13" s="8">
        <f>+'Strings non Elem'!P13+Art!O13+Music!O13+Vocal!O13+Band!O13+'Elem Strings'!O13+'Grants Donations'!O13</f>
        <v>10412</v>
      </c>
      <c r="P13" s="8">
        <f>+'Strings non Elem'!Q13+Art!P13+Music!P13+Vocal!P13+Band!P13+'Elem Strings'!P13+'Grants Donations'!P13</f>
        <v>0</v>
      </c>
      <c r="Q13" s="8">
        <f>+'Strings non Elem'!R13+Art!Q13+Music!Q13+Vocal!Q13+Band!Q13+'Elem Strings'!Q13+'Grants Donations'!Q13</f>
        <v>9837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1" customFormat="1" ht="12.75">
      <c r="A14" s="1" t="s">
        <v>39</v>
      </c>
      <c r="B14" s="8">
        <f>+'Strings non Elem'!C14+Art!B14+Music!B14+Vocal!B14+Band!B14+'Elem Strings'!B14+'Grants Donations'!B14</f>
        <v>0</v>
      </c>
      <c r="C14" s="8">
        <f>+'Strings non Elem'!D14+Art!C14+Music!C14+Vocal!C14+Band!C14+'Elem Strings'!C14+'Grants Donations'!C14</f>
        <v>41298</v>
      </c>
      <c r="D14" s="8">
        <f>+'Strings non Elem'!E14+Art!D14+Music!D14+Vocal!D14+Band!D14+'Elem Strings'!D14+'Grants Donations'!D14</f>
        <v>36970.380000000005</v>
      </c>
      <c r="E14" s="8">
        <f>+'Strings non Elem'!F14+Art!E14+Music!E14+Vocal!E14+Band!E14+'Elem Strings'!E14+'Grants Donations'!E14</f>
        <v>0</v>
      </c>
      <c r="F14" s="8">
        <f>+'Strings non Elem'!G14+Art!F14+Music!F14+Vocal!F14+Band!F14+'Elem Strings'!F14+'Grants Donations'!F14</f>
        <v>97599</v>
      </c>
      <c r="G14" s="8">
        <f>+'Strings non Elem'!H14+Art!G14+Music!G14+Vocal!G14+Band!G14+'Elem Strings'!G14+'Grants Donations'!G14</f>
        <v>41523</v>
      </c>
      <c r="H14" s="8">
        <f>+'Strings non Elem'!I14+Art!H14+Music!H14+Vocal!H14+Band!H14+'Elem Strings'!H14+'Grants Donations'!H14</f>
        <v>0</v>
      </c>
      <c r="I14" s="8">
        <f>+'Strings non Elem'!J14+Art!I14+Music!I14+Vocal!I14+Band!I14+'Elem Strings'!I14+'Grants Donations'!I14</f>
        <v>37461</v>
      </c>
      <c r="J14" s="8">
        <f>+'Strings non Elem'!K14+Art!J14+Music!J14+Vocal!J14+Band!J14+'Elem Strings'!J14+'Grants Donations'!J14</f>
        <v>35324</v>
      </c>
      <c r="K14" s="8">
        <f>+'Strings non Elem'!L14+Art!K14+Music!K14+Vocal!K14+Band!K14+'Elem Strings'!K14+'Grants Donations'!K14</f>
        <v>0</v>
      </c>
      <c r="L14" s="8">
        <f>+'Strings non Elem'!M14+Art!L14+Music!L14+Vocal!L14+Band!L14+'Elem Strings'!L14+'Grants Donations'!L14</f>
        <v>38800</v>
      </c>
      <c r="M14" s="8">
        <f>+'Strings non Elem'!N14+Art!M14+Music!M14+Vocal!M14+Band!M14+'Elem Strings'!M14+'Grants Donations'!M14</f>
        <v>39757</v>
      </c>
      <c r="N14" s="8">
        <f>+'Strings non Elem'!O14+Art!N14+Music!N14+Vocal!N14+Band!N14+'Elem Strings'!N14+'Grants Donations'!N14</f>
        <v>0</v>
      </c>
      <c r="O14" s="8">
        <f>+'Strings non Elem'!P14+Art!O14+Music!O14+Vocal!O14+Band!O14+'Elem Strings'!O14+'Grants Donations'!O14</f>
        <v>38663</v>
      </c>
      <c r="P14" s="8">
        <f>+'Strings non Elem'!Q14+Art!P14+Music!P14+Vocal!P14+Band!P14+'Elem Strings'!P14+'Grants Donations'!P14</f>
        <v>0</v>
      </c>
      <c r="Q14" s="8">
        <f>+'Strings non Elem'!R14+Art!Q14+Music!Q14+Vocal!Q14+Band!Q14+'Elem Strings'!Q14+'Grants Donations'!Q14</f>
        <v>40613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s="1" customFormat="1" ht="12.75">
      <c r="A15" s="1" t="s">
        <v>41</v>
      </c>
      <c r="B15" s="8">
        <f>+'Strings non Elem'!C15+Art!B15+Music!B15+Vocal!B15+Band!B15+'Elem Strings'!B15+'Grants Donations'!B15</f>
        <v>0</v>
      </c>
      <c r="C15" s="8">
        <f>+'Strings non Elem'!D15+Art!C15+Music!C15+Vocal!C15+Band!C15+'Elem Strings'!C15+'Grants Donations'!C15</f>
        <v>217412.94</v>
      </c>
      <c r="D15" s="8">
        <f>+'Strings non Elem'!E15+Art!D15+Music!D15+Vocal!D15+Band!D15+'Elem Strings'!D15+'Grants Donations'!D15</f>
        <v>192644.02999999997</v>
      </c>
      <c r="E15" s="8">
        <f>+'Strings non Elem'!F15+Art!E15+Music!E15+Vocal!E15+Band!E15+'Elem Strings'!E15+'Grants Donations'!E15</f>
        <v>0</v>
      </c>
      <c r="F15" s="8">
        <f>+'Strings non Elem'!G15+Art!F15+Music!F15+Vocal!F15+Band!F15+'Elem Strings'!F15+'Grants Donations'!F15</f>
        <v>137352</v>
      </c>
      <c r="G15" s="8">
        <f>+'Strings non Elem'!H15+Art!G15+Music!G15+Vocal!G15+Band!G15+'Elem Strings'!G15+'Grants Donations'!G15</f>
        <v>199943</v>
      </c>
      <c r="H15" s="8">
        <f>+'Strings non Elem'!I15+Art!H15+Music!H15+Vocal!H15+Band!H15+'Elem Strings'!H15+'Grants Donations'!H15</f>
        <v>0</v>
      </c>
      <c r="I15" s="8">
        <f>+'Strings non Elem'!J15+Art!I15+Music!I15+Vocal!I15+Band!I15+'Elem Strings'!I15+'Grants Donations'!I15</f>
        <v>205512</v>
      </c>
      <c r="J15" s="8">
        <f>+'Strings non Elem'!K15+Art!J15+Music!J15+Vocal!J15+Band!J15+'Elem Strings'!J15+'Grants Donations'!J15</f>
        <v>197829.9</v>
      </c>
      <c r="K15" s="8">
        <f>+'Strings non Elem'!L15+Art!K15+Music!K15+Vocal!K15+Band!K15+'Elem Strings'!K15+'Grants Donations'!K15</f>
        <v>0</v>
      </c>
      <c r="L15" s="8">
        <f>+'Strings non Elem'!M15+Art!L15+Music!L15+Vocal!L15+Band!L15+'Elem Strings'!L15+'Grants Donations'!L15</f>
        <v>207231</v>
      </c>
      <c r="M15" s="8">
        <f>+'Strings non Elem'!N15+Art!M15+Music!M15+Vocal!M15+Band!M15+'Elem Strings'!M15+'Grants Donations'!M15</f>
        <v>195152</v>
      </c>
      <c r="N15" s="8">
        <f>+'Strings non Elem'!O15+Art!N15+Music!N15+Vocal!N15+Band!N15+'Elem Strings'!N15+'Grants Donations'!N15</f>
        <v>0</v>
      </c>
      <c r="O15" s="8">
        <f>+'Strings non Elem'!P15+Art!O15+Music!O15+Vocal!O15+Band!O15+'Elem Strings'!O15+'Grants Donations'!O15</f>
        <v>206035</v>
      </c>
      <c r="P15" s="8">
        <f>+'Strings non Elem'!Q15+Art!P15+Music!P15+Vocal!P15+Band!P15+'Elem Strings'!P15+'Grants Donations'!P15</f>
        <v>0</v>
      </c>
      <c r="Q15" s="8">
        <f>+'Strings non Elem'!R15+Art!Q15+Music!Q15+Vocal!Q15+Band!Q15+'Elem Strings'!Q15+'Grants Donations'!Q15</f>
        <v>212420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1" customFormat="1" ht="12.75">
      <c r="A16" s="1" t="s">
        <v>42</v>
      </c>
      <c r="B16" s="8">
        <f>+'Strings non Elem'!C16+Art!B16+Music!B16+Vocal!B16+Band!B16+'Elem Strings'!B16+'Grants Donations'!B16</f>
        <v>0</v>
      </c>
      <c r="C16" s="8">
        <f>+'Strings non Elem'!D16+Art!C16+Music!C16+Vocal!C16+Band!C16+'Elem Strings'!C16+'Grants Donations'!C16</f>
        <v>3060.8</v>
      </c>
      <c r="D16" s="8">
        <f>+'Strings non Elem'!E16+Art!D16+Music!D16+Vocal!D16+Band!D16+'Elem Strings'!D16+'Grants Donations'!D16</f>
        <v>8344.529999999999</v>
      </c>
      <c r="E16" s="8">
        <f>+'Strings non Elem'!F16+Art!E16+Music!E16+Vocal!E16+Band!E16+'Elem Strings'!E16+'Grants Donations'!E16</f>
        <v>0</v>
      </c>
      <c r="F16" s="8">
        <f>+'Strings non Elem'!G16+Art!F16+Music!F16+Vocal!F16+Band!F16+'Elem Strings'!F16+'Grants Donations'!F16</f>
        <v>13120</v>
      </c>
      <c r="G16" s="8">
        <f>+'Strings non Elem'!H16+Art!G16+Music!G16+Vocal!G16+Band!G16+'Elem Strings'!G16+'Grants Donations'!G16</f>
        <v>5577</v>
      </c>
      <c r="H16" s="8">
        <f>+'Strings non Elem'!I16+Art!H16+Music!H16+Vocal!H16+Band!H16+'Elem Strings'!H16+'Grants Donations'!H16</f>
        <v>0</v>
      </c>
      <c r="I16" s="8">
        <f>+'Strings non Elem'!J16+Art!I16+Music!I16+Vocal!I16+Band!I16+'Elem Strings'!I16+'Grants Donations'!I16</f>
        <v>9215</v>
      </c>
      <c r="J16" s="8">
        <f>+'Strings non Elem'!K16+Art!J16+Music!J16+Vocal!J16+Band!J16+'Elem Strings'!J16+'Grants Donations'!J16</f>
        <v>4359</v>
      </c>
      <c r="K16" s="8">
        <f>+'Strings non Elem'!L16+Art!K16+Music!K16+Vocal!K16+Band!K16+'Elem Strings'!K16+'Grants Donations'!K16</f>
        <v>0</v>
      </c>
      <c r="L16" s="8">
        <f>+'Strings non Elem'!M16+Art!L16+Music!L16+Vocal!L16+Band!L16+'Elem Strings'!L16+'Grants Donations'!L16</f>
        <v>6102</v>
      </c>
      <c r="M16" s="8">
        <f>+'Strings non Elem'!N16+Art!M16+Music!M16+Vocal!M16+Band!M16+'Elem Strings'!M16+'Grants Donations'!M16</f>
        <v>3207</v>
      </c>
      <c r="N16" s="8">
        <f>+'Strings non Elem'!O16+Art!N16+Music!N16+Vocal!N16+Band!N16+'Elem Strings'!N16+'Grants Donations'!N16</f>
        <v>0</v>
      </c>
      <c r="O16" s="8">
        <f>+'Strings non Elem'!P16+Art!O16+Music!O16+Vocal!O16+Band!O16+'Elem Strings'!O16+'Grants Donations'!O16</f>
        <v>4725</v>
      </c>
      <c r="P16" s="8">
        <f>+'Strings non Elem'!Q16+Art!P16+Music!P16+Vocal!P16+Band!P16+'Elem Strings'!P16+'Grants Donations'!P16</f>
        <v>0</v>
      </c>
      <c r="Q16" s="8">
        <f>+'Strings non Elem'!R16+Art!Q16+Music!Q16+Vocal!Q16+Band!Q16+'Elem Strings'!Q16+'Grants Donations'!Q16</f>
        <v>4857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1" customFormat="1" ht="12.75">
      <c r="A17" s="1" t="s">
        <v>43</v>
      </c>
      <c r="B17" s="8">
        <f>+'Strings non Elem'!C17+Art!B17+Music!B17+Vocal!B17+Band!B17+'Elem Strings'!B17+'Grants Donations'!B17</f>
        <v>0</v>
      </c>
      <c r="C17" s="8">
        <f>+'Strings non Elem'!D17+Art!C17+Music!C17+Vocal!C17+Band!C17+'Elem Strings'!C17+'Grants Donations'!C17</f>
        <v>1167.6</v>
      </c>
      <c r="D17" s="8">
        <f>+'Strings non Elem'!E17+Art!D17+Music!D17+Vocal!D17+Band!D17+'Elem Strings'!D17+'Grants Donations'!D17</f>
        <v>941</v>
      </c>
      <c r="E17" s="8">
        <f>+'Strings non Elem'!F17+Art!E17+Music!E17+Vocal!E17+Band!E17+'Elem Strings'!E17+'Grants Donations'!E17</f>
        <v>0</v>
      </c>
      <c r="F17" s="8">
        <f>+'Strings non Elem'!G17+Art!F17+Music!F17+Vocal!F17+Band!F17+'Elem Strings'!F17+'Grants Donations'!F17</f>
        <v>750</v>
      </c>
      <c r="G17" s="8">
        <f>+'Strings non Elem'!H17+Art!G17+Music!G17+Vocal!G17+Band!G17+'Elem Strings'!G17+'Grants Donations'!G17</f>
        <v>1552</v>
      </c>
      <c r="H17" s="8">
        <f>+'Strings non Elem'!I17+Art!H17+Music!H17+Vocal!H17+Band!H17+'Elem Strings'!H17+'Grants Donations'!H17</f>
        <v>0</v>
      </c>
      <c r="I17" s="8">
        <f>+'Strings non Elem'!J17+Art!I17+Music!I17+Vocal!I17+Band!I17+'Elem Strings'!I17+'Grants Donations'!I17</f>
        <v>1660</v>
      </c>
      <c r="J17" s="8">
        <f>+'Strings non Elem'!K17+Art!J17+Music!J17+Vocal!J17+Band!J17+'Elem Strings'!J17+'Grants Donations'!J17</f>
        <v>1913</v>
      </c>
      <c r="K17" s="8">
        <f>+'Strings non Elem'!L17+Art!K17+Music!K17+Vocal!K17+Band!K17+'Elem Strings'!K17+'Grants Donations'!K17</f>
        <v>0</v>
      </c>
      <c r="L17" s="8">
        <f>+'Strings non Elem'!M17+Art!L17+Music!L17+Vocal!L17+Band!L17+'Elem Strings'!L17+'Grants Donations'!L17</f>
        <v>1727</v>
      </c>
      <c r="M17" s="8">
        <f>+'Strings non Elem'!N17+Art!M17+Music!M17+Vocal!M17+Band!M17+'Elem Strings'!M17+'Grants Donations'!M17</f>
        <v>1360</v>
      </c>
      <c r="N17" s="8">
        <f>+'Strings non Elem'!O17+Art!N17+Music!N17+Vocal!N17+Band!N17+'Elem Strings'!N17+'Grants Donations'!N17</f>
        <v>0</v>
      </c>
      <c r="O17" s="8">
        <f>+'Strings non Elem'!P17+Art!O17+Music!O17+Vocal!O17+Band!O17+'Elem Strings'!O17+'Grants Donations'!O17</f>
        <v>2012</v>
      </c>
      <c r="P17" s="8">
        <f>+'Strings non Elem'!Q17+Art!P17+Music!P17+Vocal!P17+Band!P17+'Elem Strings'!P17+'Grants Donations'!P17</f>
        <v>0</v>
      </c>
      <c r="Q17" s="8">
        <f>+'Strings non Elem'!R17+Art!Q17+Music!Q17+Vocal!Q17+Band!Q17+'Elem Strings'!Q17+'Grants Donations'!Q17</f>
        <v>2068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1" customFormat="1" ht="12.75">
      <c r="A18" s="1" t="s">
        <v>45</v>
      </c>
      <c r="B18" s="8">
        <f>+'Strings non Elem'!C18+Art!B18+Music!B18+Vocal!B18+Band!B18+'Elem Strings'!B18+'Grants Donations'!B18</f>
        <v>0</v>
      </c>
      <c r="C18" s="8">
        <f>+'Strings non Elem'!D18+Art!C18+Music!C18+Vocal!C18+Band!C18+'Elem Strings'!C18+'Grants Donations'!C18</f>
        <v>0</v>
      </c>
      <c r="D18" s="8">
        <f>+'Strings non Elem'!E18+Art!D18+Music!D18+Vocal!D18+Band!D18+'Elem Strings'!D18+'Grants Donations'!D18</f>
        <v>0</v>
      </c>
      <c r="E18" s="8">
        <f>+'Strings non Elem'!F18+Art!E18+Music!E18+Vocal!E18+Band!E18+'Elem Strings'!E18+'Grants Donations'!E18</f>
        <v>0</v>
      </c>
      <c r="F18" s="8">
        <f>+'Strings non Elem'!G18+Art!F18+Music!F18+Vocal!F18+Band!F18+'Elem Strings'!F18+'Grants Donations'!F18</f>
        <v>0</v>
      </c>
      <c r="G18" s="8">
        <f>+'Strings non Elem'!H18+Art!G18+Music!G18+Vocal!G18+Band!G18+'Elem Strings'!G18+'Grants Donations'!G18</f>
        <v>0</v>
      </c>
      <c r="H18" s="8">
        <f>+'Strings non Elem'!I18+Art!H18+Music!H18+Vocal!H18+Band!H18+'Elem Strings'!H18+'Grants Donations'!H18</f>
        <v>0</v>
      </c>
      <c r="I18" s="8">
        <f>+'Strings non Elem'!J18+Art!I18+Music!I18+Vocal!I18+Band!I18+'Elem Strings'!I18+'Grants Donations'!I18</f>
        <v>0</v>
      </c>
      <c r="J18" s="8">
        <f>+'Strings non Elem'!K18+Art!J18+Music!J18+Vocal!J18+Band!J18+'Elem Strings'!J18+'Grants Donations'!J18</f>
        <v>0</v>
      </c>
      <c r="K18" s="8">
        <f>+'Strings non Elem'!L18+Art!K18+Music!K18+Vocal!K18+Band!K18+'Elem Strings'!K18+'Grants Donations'!K18</f>
        <v>0</v>
      </c>
      <c r="L18" s="8">
        <f>+'Strings non Elem'!M18+Art!L18+Music!L18+Vocal!L18+Band!L18+'Elem Strings'!L18+'Grants Donations'!L18</f>
        <v>0</v>
      </c>
      <c r="M18" s="8">
        <f>+'Strings non Elem'!N18+Art!M18+Music!M18+Vocal!M18+Band!M18+'Elem Strings'!M18+'Grants Donations'!M18</f>
        <v>0</v>
      </c>
      <c r="N18" s="8">
        <f>+'Strings non Elem'!O18+Art!N18+Music!N18+Vocal!N18+Band!N18+'Elem Strings'!N18+'Grants Donations'!N18</f>
        <v>0</v>
      </c>
      <c r="O18" s="8">
        <f>+'Strings non Elem'!P18+Art!O18+Music!O18+Vocal!O18+Band!O18+'Elem Strings'!O18+'Grants Donations'!O18</f>
        <v>0</v>
      </c>
      <c r="P18" s="8">
        <f>+'Strings non Elem'!Q18+Art!P18+Music!P18+Vocal!P18+Band!P18+'Elem Strings'!P18+'Grants Donations'!P18</f>
        <v>0</v>
      </c>
      <c r="Q18" s="8">
        <f>+'Strings non Elem'!R18+Art!Q18+Music!Q18+Vocal!Q18+Band!Q18+'Elem Strings'!Q18+'Grants Donations'!Q18</f>
        <v>0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1" customFormat="1" ht="12.75">
      <c r="A19" s="1" t="s">
        <v>50</v>
      </c>
      <c r="B19" s="8">
        <f>+'Strings non Elem'!C19+Art!B19+Music!B19+Vocal!B19+Band!B19+'Elem Strings'!B19+'Grants Donations'!B19</f>
        <v>0</v>
      </c>
      <c r="C19" s="8">
        <f>+'Strings non Elem'!D19+Art!C19+Music!C19+Vocal!C19+Band!C19+'Elem Strings'!C19+'Grants Donations'!C19</f>
        <v>7568.6</v>
      </c>
      <c r="D19" s="8">
        <f>+'Strings non Elem'!E19+Art!D19+Music!D19+Vocal!D19+Band!D19+'Elem Strings'!D19+'Grants Donations'!D19</f>
        <v>4606.1900000000005</v>
      </c>
      <c r="E19" s="8">
        <f>+'Strings non Elem'!F19+Art!E19+Music!E19+Vocal!E19+Band!E19+'Elem Strings'!E19+'Grants Donations'!E19</f>
        <v>0</v>
      </c>
      <c r="F19" s="8">
        <f>+'Strings non Elem'!G19+Art!F19+Music!F19+Vocal!F19+Band!F19+'Elem Strings'!F19+'Grants Donations'!F19</f>
        <v>8452</v>
      </c>
      <c r="G19" s="8">
        <f>+'Strings non Elem'!H19+Art!G19+Music!G19+Vocal!G19+Band!G19+'Elem Strings'!G19+'Grants Donations'!G19</f>
        <v>1251</v>
      </c>
      <c r="H19" s="8">
        <f>+'Strings non Elem'!I19+Art!H19+Music!H19+Vocal!H19+Band!H19+'Elem Strings'!H19+'Grants Donations'!H19</f>
        <v>0</v>
      </c>
      <c r="I19" s="8">
        <f>+'Strings non Elem'!J19+Art!I19+Music!I19+Vocal!I19+Band!I19+'Elem Strings'!I19+'Grants Donations'!I19</f>
        <v>6608</v>
      </c>
      <c r="J19" s="8">
        <f>+'Strings non Elem'!K19+Art!J19+Music!J19+Vocal!J19+Band!J19+'Elem Strings'!J19+'Grants Donations'!J19</f>
        <v>2764</v>
      </c>
      <c r="K19" s="8">
        <f>+'Strings non Elem'!L19+Art!K19+Music!K19+Vocal!K19+Band!K19+'Elem Strings'!K19+'Grants Donations'!K19</f>
        <v>0</v>
      </c>
      <c r="L19" s="8">
        <f>+'Strings non Elem'!M19+Art!L19+Music!L19+Vocal!L19+Band!L19+'Elem Strings'!L19+'Grants Donations'!L19</f>
        <v>8400</v>
      </c>
      <c r="M19" s="8">
        <f>+'Strings non Elem'!N19+Art!M19+Music!M19+Vocal!M19+Band!M19+'Elem Strings'!M19+'Grants Donations'!M19</f>
        <v>4445</v>
      </c>
      <c r="N19" s="8">
        <f>+'Strings non Elem'!O19+Art!N19+Music!N19+Vocal!N19+Band!N19+'Elem Strings'!N19+'Grants Donations'!N19</f>
        <v>0</v>
      </c>
      <c r="O19" s="8">
        <f>+'Strings non Elem'!P19+Art!O19+Music!O19+Vocal!O19+Band!O19+'Elem Strings'!O19+'Grants Donations'!O19</f>
        <v>8206</v>
      </c>
      <c r="P19" s="8">
        <f>+'Strings non Elem'!Q19+Art!P19+Music!P19+Vocal!P19+Band!P19+'Elem Strings'!P19+'Grants Donations'!P19</f>
        <v>0</v>
      </c>
      <c r="Q19" s="8">
        <f>+'Strings non Elem'!R19+Art!Q19+Music!Q19+Vocal!Q19+Band!Q19+'Elem Strings'!Q19+'Grants Donations'!Q19</f>
        <v>6425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1" customFormat="1" ht="12.75">
      <c r="A20" s="1" t="s">
        <v>51</v>
      </c>
      <c r="B20" s="8">
        <f>+'Strings non Elem'!C20+Art!B20+Music!B20+Vocal!B20+Band!B20+'Elem Strings'!B20+'Grants Donations'!B20</f>
        <v>0</v>
      </c>
      <c r="C20" s="8">
        <f>+'Strings non Elem'!D20+Art!C20+Music!C20+Vocal!C20+Band!C20+'Elem Strings'!C20+'Grants Donations'!C20</f>
        <v>16040.96</v>
      </c>
      <c r="D20" s="8">
        <f>+'Strings non Elem'!E20+Art!D20+Music!D20+Vocal!D20+Band!D20+'Elem Strings'!D20+'Grants Donations'!D20</f>
        <v>18297.26</v>
      </c>
      <c r="E20" s="8">
        <f>+'Strings non Elem'!F20+Art!E20+Music!E20+Vocal!E20+Band!E20+'Elem Strings'!E20+'Grants Donations'!E20</f>
        <v>0</v>
      </c>
      <c r="F20" s="8">
        <f>+'Strings non Elem'!G20+Art!F20+Music!F20+Vocal!F20+Band!F20+'Elem Strings'!F20+'Grants Donations'!F20</f>
        <v>16757</v>
      </c>
      <c r="G20" s="8">
        <f>+'Strings non Elem'!H20+Art!G20+Music!G20+Vocal!G20+Band!G20+'Elem Strings'!G20+'Grants Donations'!G20</f>
        <v>15427</v>
      </c>
      <c r="H20" s="8">
        <f>+'Strings non Elem'!I20+Art!H20+Music!H20+Vocal!H20+Band!H20+'Elem Strings'!H20+'Grants Donations'!H20</f>
        <v>0</v>
      </c>
      <c r="I20" s="8">
        <f>+'Strings non Elem'!J20+Art!I20+Music!I20+Vocal!I20+Band!I20+'Elem Strings'!I20+'Grants Donations'!I20</f>
        <v>18265</v>
      </c>
      <c r="J20" s="8">
        <f>+'Strings non Elem'!K20+Art!J20+Music!J20+Vocal!J20+Band!J20+'Elem Strings'!J20+'Grants Donations'!J20</f>
        <v>22350.84</v>
      </c>
      <c r="K20" s="8">
        <f>+'Strings non Elem'!L20+Art!K20+Music!K20+Vocal!K20+Band!K20+'Elem Strings'!K20+'Grants Donations'!K20</f>
        <v>0</v>
      </c>
      <c r="L20" s="8">
        <f>+'Strings non Elem'!M20+Art!L20+Music!L20+Vocal!L20+Band!L20+'Elem Strings'!L20+'Grants Donations'!L20</f>
        <v>6796</v>
      </c>
      <c r="M20" s="8">
        <f>+'Strings non Elem'!N20+Art!M20+Music!M20+Vocal!M20+Band!M20+'Elem Strings'!M20+'Grants Donations'!M20</f>
        <v>6446</v>
      </c>
      <c r="N20" s="8">
        <f>+'Strings non Elem'!O20+Art!N20+Music!N20+Vocal!N20+Band!N20+'Elem Strings'!N20+'Grants Donations'!N20</f>
        <v>0</v>
      </c>
      <c r="O20" s="8">
        <f>+'Strings non Elem'!P20+Art!O20+Music!O20+Vocal!O20+Band!O20+'Elem Strings'!O20+'Grants Donations'!O20</f>
        <v>13855</v>
      </c>
      <c r="P20" s="8">
        <f>+'Strings non Elem'!Q20+Art!P20+Music!P20+Vocal!P20+Band!P20+'Elem Strings'!P20+'Grants Donations'!P20</f>
        <v>0</v>
      </c>
      <c r="Q20" s="8">
        <f>+'Strings non Elem'!R20+Art!Q20+Music!Q20+Vocal!Q20+Band!Q20+'Elem Strings'!Q20+'Grants Donations'!Q20</f>
        <v>9560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1" customFormat="1" ht="12.75">
      <c r="A21" s="1" t="s">
        <v>67</v>
      </c>
      <c r="B21" s="8">
        <f>+'Strings non Elem'!C21+Art!B21+Music!B21+Vocal!B21+Band!B21+'Elem Strings'!B21+'Grants Donations'!B21</f>
        <v>0</v>
      </c>
      <c r="C21" s="8">
        <f>+'Strings non Elem'!D21+Art!C21+Music!C21+Vocal!C21+Band!C21+'Elem Strings'!C21+'Grants Donations'!C21</f>
        <v>24056</v>
      </c>
      <c r="D21" s="8">
        <f>+'Strings non Elem'!E21+Art!D21+Music!D21+Vocal!D21+Band!D21+'Elem Strings'!D21+'Grants Donations'!D21</f>
        <v>17988.620000000003</v>
      </c>
      <c r="E21" s="8">
        <f>+'Strings non Elem'!F21+Art!E21+Music!E21+Vocal!E21+Band!E21+'Elem Strings'!E21+'Grants Donations'!E21</f>
        <v>0</v>
      </c>
      <c r="F21" s="8">
        <f>+'Strings non Elem'!G21+Art!F21+Music!F21+Vocal!F21+Band!F21+'Elem Strings'!F21+'Grants Donations'!F21</f>
        <v>21138</v>
      </c>
      <c r="G21" s="8">
        <f>+'Strings non Elem'!H21+Art!G21+Music!G21+Vocal!G21+Band!G21+'Elem Strings'!G21+'Grants Donations'!G21</f>
        <v>17323</v>
      </c>
      <c r="H21" s="8">
        <f>+'Strings non Elem'!I21+Art!H21+Music!H21+Vocal!H21+Band!H21+'Elem Strings'!H21+'Grants Donations'!H21</f>
        <v>0</v>
      </c>
      <c r="I21" s="8">
        <f>+'Strings non Elem'!J21+Art!I21+Music!I21+Vocal!I21+Band!I21+'Elem Strings'!I21+'Grants Donations'!I21</f>
        <v>18426</v>
      </c>
      <c r="J21" s="8">
        <f>+'Strings non Elem'!K21+Art!J21+Music!J21+Vocal!J21+Band!J21+'Elem Strings'!J21+'Grants Donations'!J21</f>
        <v>21928.5</v>
      </c>
      <c r="K21" s="8">
        <f>+'Strings non Elem'!L21+Art!K21+Music!K21+Vocal!K21+Band!K21+'Elem Strings'!K21+'Grants Donations'!K21</f>
        <v>0</v>
      </c>
      <c r="L21" s="8">
        <f>+'Strings non Elem'!M21+Art!L21+Music!L21+Vocal!L21+Band!L21+'Elem Strings'!L21+'Grants Donations'!L21</f>
        <v>8823</v>
      </c>
      <c r="M21" s="8">
        <f>+'Strings non Elem'!N21+Art!M21+Music!M21+Vocal!M21+Band!M21+'Elem Strings'!M21+'Grants Donations'!M21</f>
        <v>10079</v>
      </c>
      <c r="N21" s="8">
        <f>+'Strings non Elem'!O21+Art!N21+Music!N21+Vocal!N21+Band!N21+'Elem Strings'!N21+'Grants Donations'!N21</f>
        <v>0</v>
      </c>
      <c r="O21" s="8">
        <f>+'Strings non Elem'!P21+Art!O21+Music!O21+Vocal!O21+Band!O21+'Elem Strings'!O21+'Grants Donations'!O21</f>
        <v>18026</v>
      </c>
      <c r="P21" s="8">
        <f>+'Strings non Elem'!Q21+Art!P21+Music!P21+Vocal!P21+Band!P21+'Elem Strings'!P21+'Grants Donations'!P21</f>
        <v>0</v>
      </c>
      <c r="Q21" s="8">
        <f>+'Strings non Elem'!R21+Art!Q21+Music!Q21+Vocal!Q21+Band!Q21+'Elem Strings'!Q21+'Grants Donations'!Q21</f>
        <v>23677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1" customFormat="1" ht="12.75">
      <c r="A22" s="1" t="s">
        <v>52</v>
      </c>
      <c r="B22" s="8">
        <f>+'Strings non Elem'!C22+Art!B22+Music!B22+Vocal!B22+Band!B22+'Elem Strings'!B22+'Grants Donations'!B22</f>
        <v>0</v>
      </c>
      <c r="C22" s="8">
        <f>+'Strings non Elem'!D22+Art!C22+Music!C22+Vocal!C22+Band!C22+'Elem Strings'!C22+'Grants Donations'!C22</f>
        <v>80080</v>
      </c>
      <c r="D22" s="8">
        <f>+'Strings non Elem'!E22+Art!D22+Music!D22+Vocal!D22+Band!D22+'Elem Strings'!D22+'Grants Donations'!D22</f>
        <v>84305.26</v>
      </c>
      <c r="E22" s="8">
        <f>+'Strings non Elem'!F22+Art!E22+Music!E22+Vocal!E22+Band!E22+'Elem Strings'!E22+'Grants Donations'!E22</f>
        <v>0</v>
      </c>
      <c r="F22" s="8">
        <f>+'Strings non Elem'!G22+Art!F22+Music!F22+Vocal!F22+Band!F22+'Elem Strings'!F22+'Grants Donations'!F22</f>
        <v>6300</v>
      </c>
      <c r="G22" s="8">
        <f>+'Strings non Elem'!H22+Art!G22+Music!G22+Vocal!G22+Band!G22+'Elem Strings'!G22+'Grants Donations'!G22</f>
        <v>1566</v>
      </c>
      <c r="H22" s="8">
        <f>+'Strings non Elem'!I22+Art!H22+Music!H22+Vocal!H22+Band!H22+'Elem Strings'!H22+'Grants Donations'!H22</f>
        <v>0</v>
      </c>
      <c r="I22" s="8">
        <f>+'Strings non Elem'!J22+Art!I22+Music!I22+Vocal!I22+Band!I22+'Elem Strings'!I22+'Grants Donations'!I22</f>
        <v>4982</v>
      </c>
      <c r="J22" s="8">
        <f>+'Strings non Elem'!K22+Art!J22+Music!J22+Vocal!J22+Band!J22+'Elem Strings'!J22+'Grants Donations'!J22</f>
        <v>11552</v>
      </c>
      <c r="K22" s="8">
        <f>+'Strings non Elem'!L22+Art!K22+Music!K22+Vocal!K22+Band!K22+'Elem Strings'!K22+'Grants Donations'!K22</f>
        <v>0</v>
      </c>
      <c r="L22" s="8">
        <f>+'Strings non Elem'!M22+Art!L22+Music!L22+Vocal!L22+Band!L22+'Elem Strings'!L22+'Grants Donations'!L22</f>
        <v>9107</v>
      </c>
      <c r="M22" s="8">
        <f>+'Strings non Elem'!N22+Art!M22+Music!M22+Vocal!M22+Band!M22+'Elem Strings'!M22+'Grants Donations'!M22</f>
        <v>10521</v>
      </c>
      <c r="N22" s="8">
        <f>+'Strings non Elem'!O22+Art!N22+Music!N22+Vocal!N22+Band!N22+'Elem Strings'!N22+'Grants Donations'!N22</f>
        <v>0</v>
      </c>
      <c r="O22" s="8">
        <f>+'Strings non Elem'!P22+Art!O22+Music!O22+Vocal!O22+Band!O22+'Elem Strings'!O22+'Grants Donations'!O22</f>
        <v>7851</v>
      </c>
      <c r="P22" s="8">
        <f>+'Strings non Elem'!Q22+Art!P22+Music!P22+Vocal!P22+Band!P22+'Elem Strings'!P22+'Grants Donations'!P22</f>
        <v>0</v>
      </c>
      <c r="Q22" s="8">
        <f>+'Strings non Elem'!R22+Art!Q22+Music!Q22+Vocal!Q22+Band!Q22+'Elem Strings'!Q22+'Grants Donations'!Q22</f>
        <v>15389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1" customFormat="1" ht="12.75">
      <c r="A23" s="1" t="s">
        <v>53</v>
      </c>
      <c r="B23" s="8">
        <f>+'Strings non Elem'!C23+Art!B23+Music!B23+Vocal!B23+Band!B23+'Elem Strings'!B23+'Grants Donations'!B23</f>
        <v>0</v>
      </c>
      <c r="C23" s="8">
        <f>+'Strings non Elem'!D23+Art!C23+Music!C23+Vocal!C23+Band!C23+'Elem Strings'!C23+'Grants Donations'!C23</f>
        <v>104</v>
      </c>
      <c r="D23" s="8">
        <f>+'Strings non Elem'!E23+Art!D23+Music!D23+Vocal!D23+Band!D23+'Elem Strings'!D23+'Grants Donations'!D23</f>
        <v>83.33</v>
      </c>
      <c r="E23" s="8">
        <f>+'Strings non Elem'!F23+Art!E23+Music!E23+Vocal!E23+Band!E23+'Elem Strings'!E23+'Grants Donations'!E23</f>
        <v>0</v>
      </c>
      <c r="F23" s="8">
        <f>+'Strings non Elem'!G23+Art!F23+Music!F23+Vocal!F23+Band!F23+'Elem Strings'!F23+'Grants Donations'!F23</f>
        <v>0</v>
      </c>
      <c r="G23" s="8">
        <f>+'Strings non Elem'!H23+Art!G23+Music!G23+Vocal!G23+Band!G23+'Elem Strings'!G23+'Grants Donations'!G23</f>
        <v>0</v>
      </c>
      <c r="H23" s="8">
        <f>+'Strings non Elem'!I23+Art!H23+Music!H23+Vocal!H23+Band!H23+'Elem Strings'!H23+'Grants Donations'!H23</f>
        <v>0</v>
      </c>
      <c r="I23" s="8">
        <f>+'Strings non Elem'!J23+Art!I23+Music!I23+Vocal!I23+Band!I23+'Elem Strings'!I23+'Grants Donations'!I23</f>
        <v>0</v>
      </c>
      <c r="J23" s="8">
        <f>+'Strings non Elem'!K23+Art!J23+Music!J23+Vocal!J23+Band!J23+'Elem Strings'!J23+'Grants Donations'!J23</f>
        <v>0</v>
      </c>
      <c r="K23" s="8">
        <f>+'Strings non Elem'!L23+Art!K23+Music!K23+Vocal!K23+Band!K23+'Elem Strings'!K23+'Grants Donations'!K23</f>
        <v>0</v>
      </c>
      <c r="L23" s="8">
        <f>+'Strings non Elem'!M23+Art!L23+Music!L23+Vocal!L23+Band!L23+'Elem Strings'!L23+'Grants Donations'!L23</f>
        <v>0</v>
      </c>
      <c r="M23" s="8">
        <f>+'Strings non Elem'!N23+Art!M23+Music!M23+Vocal!M23+Band!M23+'Elem Strings'!M23+'Grants Donations'!M23</f>
        <v>0</v>
      </c>
      <c r="N23" s="8">
        <f>+'Strings non Elem'!O23+Art!N23+Music!N23+Vocal!N23+Band!N23+'Elem Strings'!N23+'Grants Donations'!N23</f>
        <v>0</v>
      </c>
      <c r="O23" s="8">
        <f>+'Strings non Elem'!P23+Art!O23+Music!O23+Vocal!O23+Band!O23+'Elem Strings'!O23+'Grants Donations'!O23</f>
        <v>0</v>
      </c>
      <c r="P23" s="8">
        <f>+'Strings non Elem'!Q23+Art!P23+Music!P23+Vocal!P23+Band!P23+'Elem Strings'!P23+'Grants Donations'!P23</f>
        <v>0</v>
      </c>
      <c r="Q23" s="8">
        <f>+'Strings non Elem'!R23+Art!Q23+Music!Q23+Vocal!Q23+Band!Q23+'Elem Strings'!Q23+'Grants Donations'!Q23</f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40" s="1" customFormat="1" ht="12.75">
      <c r="B24" s="8">
        <f>+'Strings non Elem'!C24+Art!B24+Music!B24+Vocal!B24+Band!B24+'Elem Strings'!B24+'Grants Donations'!B24</f>
        <v>0</v>
      </c>
      <c r="C24" s="8">
        <f>+'Strings non Elem'!D24+Art!C24+Music!C24+Vocal!C24+Band!C24+'Elem Strings'!C24+'Grants Donations'!C24</f>
        <v>0</v>
      </c>
      <c r="D24" s="8">
        <f>+'Strings non Elem'!E24+Art!D24+Music!D24+Vocal!D24+Band!D24+'Elem Strings'!D24+'Grants Donations'!D24</f>
        <v>0</v>
      </c>
      <c r="E24" s="8">
        <f>+'Strings non Elem'!F24+Art!E24+Music!E24+Vocal!E24+Band!E24+'Elem Strings'!E24+'Grants Donations'!E24</f>
        <v>0</v>
      </c>
      <c r="F24" s="8">
        <f>+'Strings non Elem'!G24+Art!F24+Music!F24+Vocal!F24+Band!F24+'Elem Strings'!F24+'Grants Donations'!F24</f>
        <v>0</v>
      </c>
      <c r="G24" s="8">
        <f>+'Strings non Elem'!H24+Art!G24+Music!G24+Vocal!G24+Band!G24+'Elem Strings'!G24+'Grants Donations'!G24</f>
        <v>0</v>
      </c>
      <c r="H24" s="8">
        <f>+'Strings non Elem'!I24+Art!H24+Music!H24+Vocal!H24+Band!H24+'Elem Strings'!H24+'Grants Donations'!H24</f>
        <v>0</v>
      </c>
      <c r="I24" s="8">
        <f>+'Strings non Elem'!J24+Art!I24+Music!I24+Vocal!I24+Band!I24+'Elem Strings'!I24+'Grants Donations'!I24</f>
        <v>0</v>
      </c>
      <c r="J24" s="8">
        <f>+'Strings non Elem'!K24+Art!J24+Music!J24+Vocal!J24+Band!J24+'Elem Strings'!J24+'Grants Donations'!J24</f>
        <v>0</v>
      </c>
      <c r="K24" s="8">
        <f>+'Strings non Elem'!L24+Art!K24+Music!K24+Vocal!K24+Band!K24+'Elem Strings'!K24+'Grants Donations'!K24</f>
        <v>0</v>
      </c>
      <c r="L24" s="8">
        <f>+'Strings non Elem'!M24+Art!L24+Music!L24+Vocal!L24+Band!L24+'Elem Strings'!L24+'Grants Donations'!L24</f>
        <v>0</v>
      </c>
      <c r="M24" s="8">
        <f>+'Strings non Elem'!N24+Art!M24+Music!M24+Vocal!M24+Band!M24+'Elem Strings'!M24+'Grants Donations'!M24</f>
        <v>0</v>
      </c>
      <c r="N24" s="8">
        <f>+'Strings non Elem'!O24+Art!N24+Music!N24+Vocal!N24+Band!N24+'Elem Strings'!N24+'Grants Donations'!N24</f>
        <v>0</v>
      </c>
      <c r="O24" s="8">
        <f>+'Strings non Elem'!P24+Art!O24+Music!O24+Vocal!O24+Band!O24+'Elem Strings'!O24+'Grants Donations'!O24</f>
        <v>0</v>
      </c>
      <c r="P24" s="8">
        <f>+'Strings non Elem'!Q24+Art!P24+Music!P24+Vocal!P24+Band!P24+'Elem Strings'!P24+'Grants Donations'!P24</f>
        <v>0</v>
      </c>
      <c r="Q24" s="8">
        <f>+'Strings non Elem'!R24+Art!Q24+Music!Q24+Vocal!Q24+Band!Q24+'Elem Strings'!Q24+'Grants Donations'!Q24</f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>
      <c r="A25" t="s">
        <v>9</v>
      </c>
      <c r="B25" s="8">
        <f>+'Strings non Elem'!C25+Art!B25+Music!B25+Vocal!B25+Band!B25+'Elem Strings'!B25+'Grants Donations'!B25</f>
        <v>0</v>
      </c>
      <c r="C25" s="8">
        <f>+'Strings non Elem'!D25+Art!C25+Music!C25+Vocal!C25+Band!C25+'Elem Strings'!C25+'Grants Donations'!C25</f>
        <v>37344</v>
      </c>
      <c r="D25" s="8">
        <f>+'Strings non Elem'!E25+Art!D25+Music!D25+Vocal!D25+Band!D25+'Elem Strings'!D25+'Grants Donations'!D25</f>
        <v>36712.57</v>
      </c>
      <c r="E25" s="8">
        <f>+'Strings non Elem'!F25+Art!E25+Music!E25+Vocal!E25+Band!E25+'Elem Strings'!E25+'Grants Donations'!E25</f>
        <v>0</v>
      </c>
      <c r="F25" s="8">
        <f>+'Strings non Elem'!G25+Art!F25+Music!F25+Vocal!F25+Band!F25+'Elem Strings'!F25+'Grants Donations'!F25</f>
        <v>27290</v>
      </c>
      <c r="G25" s="8">
        <f>+'Strings non Elem'!H25+Art!G25+Music!G25+Vocal!G25+Band!G25+'Elem Strings'!G25+'Grants Donations'!G25</f>
        <v>30827</v>
      </c>
      <c r="H25" s="8">
        <f>+'Strings non Elem'!I25+Art!H25+Music!H25+Vocal!H25+Band!H25+'Elem Strings'!H25+'Grants Donations'!H25</f>
        <v>0</v>
      </c>
      <c r="I25" s="8">
        <f>+'Strings non Elem'!J25+Art!I25+Music!I25+Vocal!I25+Band!I25+'Elem Strings'!I25+'Grants Donations'!I25</f>
        <v>25468</v>
      </c>
      <c r="J25" s="8">
        <f>+'Strings non Elem'!K25+Art!J25+Music!J25+Vocal!J25+Band!J25+'Elem Strings'!J25+'Grants Donations'!J25</f>
        <v>53400</v>
      </c>
      <c r="K25" s="8">
        <f>+'Strings non Elem'!L25+Art!K25+Music!K25+Vocal!K25+Band!K25+'Elem Strings'!K25+'Grants Donations'!K25</f>
        <v>0</v>
      </c>
      <c r="L25" s="8">
        <f>+'Strings non Elem'!M25+Art!L25+Music!L25+Vocal!L25+Band!L25+'Elem Strings'!L25+'Grants Donations'!L25</f>
        <v>26512</v>
      </c>
      <c r="M25" s="8">
        <f>+'Strings non Elem'!N25+Art!M25+Music!M25+Vocal!M25+Band!M25+'Elem Strings'!M25+'Grants Donations'!M25</f>
        <v>50257</v>
      </c>
      <c r="N25" s="8">
        <f>+'Strings non Elem'!O25+Art!N25+Music!N25+Vocal!N25+Band!N25+'Elem Strings'!N25+'Grants Donations'!N25</f>
        <v>0</v>
      </c>
      <c r="O25" s="8">
        <f>+'Strings non Elem'!P25+Art!O25+Music!O25+Vocal!O25+Band!O25+'Elem Strings'!O25+'Grants Donations'!O25</f>
        <v>32184</v>
      </c>
      <c r="P25" s="8">
        <f>+'Strings non Elem'!Q25+Art!P25+Music!P25+Vocal!P25+Band!P25+'Elem Strings'!P25+'Grants Donations'!P25</f>
        <v>0</v>
      </c>
      <c r="Q25" s="8">
        <f>+'Strings non Elem'!R25+Art!Q25+Music!Q25+Vocal!Q25+Band!Q25+'Elem Strings'!Q25+'Grants Donations'!Q25</f>
        <v>28428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>
      <c r="A26" t="s">
        <v>68</v>
      </c>
      <c r="B26" s="8">
        <f>+'Strings non Elem'!C26+Art!B27+Music!B27+Vocal!B27+Band!B27+'Elem Strings'!B26+'Grants Donations'!B26</f>
        <v>0</v>
      </c>
      <c r="C26" s="8">
        <f>+'Strings non Elem'!D26+Art!C27+Music!C27+Vocal!C27+Band!C27+'Elem Strings'!C26+'Grants Donations'!C26</f>
        <v>33595.22</v>
      </c>
      <c r="D26" s="8">
        <f>+'Strings non Elem'!E26+Art!D27+Music!D27+Vocal!D27+Band!D27+'Elem Strings'!D26+'Grants Donations'!D26</f>
        <v>41533.77</v>
      </c>
      <c r="E26" s="8">
        <f>+'Strings non Elem'!F26+Art!E27+Music!E27+Vocal!E27+Band!E27+'Elem Strings'!E26+'Grants Donations'!E26</f>
        <v>0</v>
      </c>
      <c r="F26" s="8">
        <f>+'Strings non Elem'!G26+Art!F27+Music!F27+Vocal!F27+Band!F27+'Elem Strings'!F26+'Grants Donations'!F26</f>
        <v>17625</v>
      </c>
      <c r="G26" s="8">
        <f>+'Strings non Elem'!H26+Art!G27+Music!G27+Vocal!G27+Band!G27+'Elem Strings'!G26+'Grants Donations'!G26</f>
        <v>38687</v>
      </c>
      <c r="H26" s="8">
        <f>+'Strings non Elem'!I26+Art!H27+Music!H27+Vocal!H27+Band!H27+'Elem Strings'!H26+'Grants Donations'!H26</f>
        <v>0</v>
      </c>
      <c r="I26" s="8">
        <f>+'Strings non Elem'!J26+Art!I27+Music!I27+Vocal!I27+Band!I27+'Elem Strings'!I26+'Grants Donations'!I26</f>
        <v>16990</v>
      </c>
      <c r="J26" s="8">
        <f>+'Strings non Elem'!K26+Art!J27+Music!J27+Vocal!J27+Band!J27+'Elem Strings'!J26+'Grants Donations'!J26</f>
        <v>18390</v>
      </c>
      <c r="K26" s="8">
        <f>+'Strings non Elem'!L26+Art!K27+Music!K27+Vocal!K27+Band!K27+'Elem Strings'!K26+'Grants Donations'!K26</f>
        <v>0</v>
      </c>
      <c r="L26" s="8">
        <f>+'Strings non Elem'!M26+Art!L27+Music!L27+Vocal!L27+Band!L27+'Elem Strings'!L26+'Grants Donations'!L26</f>
        <v>17686</v>
      </c>
      <c r="M26" s="8">
        <f>+'Strings non Elem'!N26+Art!M27+Music!M27+Vocal!M27+Band!M27+'Elem Strings'!M26+'Grants Donations'!M26</f>
        <v>21353</v>
      </c>
      <c r="N26" s="8">
        <f>+'Strings non Elem'!O26+Art!N27+Music!N27+Vocal!N27+Band!N27+'Elem Strings'!N26+'Grants Donations'!N26</f>
        <v>0</v>
      </c>
      <c r="O26" s="8">
        <f>+'Strings non Elem'!P26+Art!O27+Music!O27+Vocal!O27+Band!O27+'Elem Strings'!O26+'Grants Donations'!O26</f>
        <v>12586</v>
      </c>
      <c r="P26" s="8">
        <f>+'Strings non Elem'!Q26+Art!P27+Music!P27+Vocal!P27+Band!P27+'Elem Strings'!P26+'Grants Donations'!P26</f>
        <v>0</v>
      </c>
      <c r="Q26" s="8">
        <f>+'Strings non Elem'!R26+Art!Q27+Music!Q27+Vocal!Q27+Band!Q27+'Elem Strings'!Q26+'Grants Donations'!Q26</f>
        <v>17595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2:40" ht="12.75">
      <c r="B27" s="8">
        <f>+'Strings non Elem'!C27+Art!B28+Music!B28+Vocal!B28+Band!B28+'Elem Strings'!B27+'Grants Donations'!B27</f>
        <v>0</v>
      </c>
      <c r="C27" s="8">
        <f>+'Strings non Elem'!D27+Art!C28+Music!C28+Vocal!C28+Band!C28+'Elem Strings'!C27+'Grants Donations'!C27</f>
        <v>0</v>
      </c>
      <c r="D27" s="8">
        <f>+'Strings non Elem'!E27+Art!D28+Music!D28+Vocal!D28+Band!D28+'Elem Strings'!D27+'Grants Donations'!D27</f>
        <v>0</v>
      </c>
      <c r="E27" s="8">
        <f>+'Strings non Elem'!F27+Art!E28+Music!E28+Vocal!E28+Band!E28+'Elem Strings'!E27+'Grants Donations'!E27</f>
        <v>0</v>
      </c>
      <c r="F27" s="8">
        <f>+'Strings non Elem'!G27+Art!F28+Music!F28+Vocal!F28+Band!F28+'Elem Strings'!F27+'Grants Donations'!F27</f>
        <v>0</v>
      </c>
      <c r="G27" s="8">
        <f>+'Strings non Elem'!H27+Art!G28+Music!G28+Vocal!G28+Band!G28+'Elem Strings'!G27+'Grants Donations'!G27</f>
        <v>0</v>
      </c>
      <c r="H27" s="8">
        <f>+'Strings non Elem'!I27+Art!H28+Music!H28+Vocal!H28+Band!H28+'Elem Strings'!H27+'Grants Donations'!H27</f>
        <v>0</v>
      </c>
      <c r="I27" s="8">
        <f>+'Strings non Elem'!J27+Art!I28+Music!I28+Vocal!I28+Band!I28+'Elem Strings'!I27+'Grants Donations'!I27</f>
        <v>0</v>
      </c>
      <c r="J27" s="8">
        <f>+'Strings non Elem'!K27+Art!J28+Music!J28+Vocal!J28+Band!J28+'Elem Strings'!J27+'Grants Donations'!J27</f>
        <v>0</v>
      </c>
      <c r="K27" s="8">
        <f>+'Strings non Elem'!L27+Art!K28+Music!K28+Vocal!K28+Band!K28+'Elem Strings'!K27+'Grants Donations'!K27</f>
        <v>0</v>
      </c>
      <c r="L27" s="8">
        <f>+'Strings non Elem'!M27+Art!L28+Music!L28+Vocal!L28+Band!L28+'Elem Strings'!L27+'Grants Donations'!L27</f>
        <v>0</v>
      </c>
      <c r="M27" s="8">
        <f>+'Strings non Elem'!N27+Art!M28+Music!M28+Vocal!M28+Band!M28+'Elem Strings'!M27+'Grants Donations'!M27</f>
        <v>0</v>
      </c>
      <c r="N27" s="8">
        <f>+'Strings non Elem'!O27+Art!N28+Music!N28+Vocal!N28+Band!N28+'Elem Strings'!N27+'Grants Donations'!N27</f>
        <v>0</v>
      </c>
      <c r="O27" s="8">
        <f>+'Strings non Elem'!P27+Art!O28+Music!O28+Vocal!O28+Band!O28+'Elem Strings'!O27+'Grants Donations'!O27</f>
        <v>0</v>
      </c>
      <c r="P27" s="8">
        <f>+'Strings non Elem'!Q27+Art!P28+Music!P28+Vocal!P28+Band!P28+'Elem Strings'!P27+'Grants Donations'!P27</f>
        <v>0</v>
      </c>
      <c r="Q27" s="8">
        <f>+'Strings non Elem'!R27+Art!Q28+Music!Q28+Vocal!Q28+Band!Q28+'Elem Strings'!Q27+'Grants Donations'!Q27</f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2.75">
      <c r="A28" t="s">
        <v>24</v>
      </c>
      <c r="B28" s="8">
        <f>+'Strings non Elem'!C28+Art!B29+Music!B29+Vocal!B29+Band!B29+'Elem Strings'!B28+'Grants Donations'!B28</f>
        <v>0</v>
      </c>
      <c r="C28" s="8">
        <f>+'Strings non Elem'!D28+Art!C29+Music!C29+Vocal!C29+Band!C29+'Elem Strings'!C28+'Grants Donations'!C28</f>
        <v>0</v>
      </c>
      <c r="D28" s="8">
        <f>+'Strings non Elem'!E28+Art!D29+Music!D29+Vocal!D29+Band!D29+'Elem Strings'!D28+'Grants Donations'!D28</f>
        <v>23880</v>
      </c>
      <c r="E28" s="8">
        <f>+'Strings non Elem'!F28+Art!E29+Music!E29+Vocal!E29+Band!E29+'Elem Strings'!E28+'Grants Donations'!E28</f>
        <v>0</v>
      </c>
      <c r="F28" s="8">
        <f>+'Strings non Elem'!G28+Art!F29+Music!F29+Vocal!F29+Band!F29+'Elem Strings'!F28+'Grants Donations'!F28</f>
        <v>0</v>
      </c>
      <c r="G28" s="8">
        <f>+'Strings non Elem'!H28+Art!G29+Music!G29+Vocal!G29+Band!G29+'Elem Strings'!G28+'Grants Donations'!G28</f>
        <v>14019</v>
      </c>
      <c r="H28" s="8">
        <f>+'Strings non Elem'!I28+Art!H29+Music!H29+Vocal!H29+Band!H29+'Elem Strings'!H28+'Grants Donations'!H28</f>
        <v>0</v>
      </c>
      <c r="I28" s="8">
        <f>+'Strings non Elem'!J28+Art!I29+Music!I29+Vocal!I29+Band!I29+'Elem Strings'!I28+'Grants Donations'!I28</f>
        <v>0</v>
      </c>
      <c r="J28" s="8">
        <f>+'Strings non Elem'!K28+Art!J29+Music!J29+Vocal!J29+Band!J29+'Elem Strings'!J28+'Grants Donations'!J28</f>
        <v>44423</v>
      </c>
      <c r="K28" s="8">
        <f>+'Strings non Elem'!L28+Art!K29+Music!K29+Vocal!K29+Band!K29+'Elem Strings'!K28+'Grants Donations'!K28</f>
        <v>0</v>
      </c>
      <c r="L28" s="8">
        <f>+'Strings non Elem'!M28+Art!L29+Music!L29+Vocal!L29+Band!L29+'Elem Strings'!L28+'Grants Donations'!L28</f>
        <v>0</v>
      </c>
      <c r="M28" s="8">
        <f>+'Strings non Elem'!N28+Art!M29+Music!M29+Vocal!M29+Band!M29+'Elem Strings'!M28+'Grants Donations'!M28</f>
        <v>123645</v>
      </c>
      <c r="N28" s="8">
        <f>+'Strings non Elem'!O28+Art!N29+Music!N29+Vocal!N29+Band!N29+'Elem Strings'!N28+'Grants Donations'!N28</f>
        <v>0</v>
      </c>
      <c r="O28" s="8">
        <f>+'Strings non Elem'!P28+Art!O29+Music!O29+Vocal!O29+Band!O29+'Elem Strings'!O28+'Grants Donations'!O28</f>
        <v>39591</v>
      </c>
      <c r="P28" s="8">
        <f>+'Strings non Elem'!Q28+Art!P29+Music!P29+Vocal!P29+Band!P29+'Elem Strings'!P28+'Grants Donations'!P28</f>
        <v>0</v>
      </c>
      <c r="Q28" s="8">
        <f>+'Strings non Elem'!R28+Art!Q29+Music!Q29+Vocal!Q29+Band!Q29+'Elem Strings'!Q28+'Grants Donations'!Q28</f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0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17" ht="12.75">
      <c r="A30" s="2" t="s">
        <v>59</v>
      </c>
      <c r="B30" s="5">
        <f aca="true" t="shared" si="0" ref="B30:O30">SUM(B3:B29)</f>
        <v>121.3</v>
      </c>
      <c r="C30" s="5">
        <f t="shared" si="0"/>
        <v>5320864.12</v>
      </c>
      <c r="D30" s="5">
        <f t="shared" si="0"/>
        <v>8295879.68</v>
      </c>
      <c r="E30" s="5">
        <f t="shared" si="0"/>
        <v>126.82</v>
      </c>
      <c r="F30" s="5">
        <f t="shared" si="0"/>
        <v>10040072.02</v>
      </c>
      <c r="G30" s="5">
        <f t="shared" si="0"/>
        <v>8934327.03</v>
      </c>
      <c r="H30" s="5">
        <f t="shared" si="0"/>
        <v>119.47</v>
      </c>
      <c r="I30" s="5">
        <f t="shared" si="0"/>
        <v>9288828</v>
      </c>
      <c r="J30" s="5">
        <f t="shared" si="0"/>
        <v>8875452.94</v>
      </c>
      <c r="K30" s="5">
        <f t="shared" si="0"/>
        <v>108.32000000000001</v>
      </c>
      <c r="L30" s="5">
        <f t="shared" si="0"/>
        <v>9002693.8</v>
      </c>
      <c r="M30" s="5">
        <f t="shared" si="0"/>
        <v>8956786.66</v>
      </c>
      <c r="N30" s="5">
        <f t="shared" si="0"/>
        <v>110.28000000000003</v>
      </c>
      <c r="O30" s="5">
        <f t="shared" si="0"/>
        <v>8948294.98</v>
      </c>
      <c r="P30" s="5">
        <f>SUM(P3:P29)</f>
        <v>111.39000000000001</v>
      </c>
      <c r="Q30" s="5">
        <f>SUM(Q3:Q29)</f>
        <v>8905800.100000001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25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t="s">
        <v>21</v>
      </c>
      <c r="B34" s="8">
        <f>+'Strings non Elem'!C34+Art!B34+Music!B34+Vocal!B34+Band!B34+'Elem Strings'!B34+'Grants Donations'!B34</f>
        <v>0</v>
      </c>
      <c r="C34" s="8">
        <f>+'Strings non Elem'!D34+Art!C34+Music!C34+Vocal!C34+Band!C34+'Elem Strings'!C34+'Grants Donations'!C34</f>
        <v>0</v>
      </c>
      <c r="D34" s="8">
        <f>+'Strings non Elem'!E34+Art!D34+Music!D34+Vocal!D34+Band!D34+'Elem Strings'!D34+'Grants Donations'!D34</f>
        <v>0</v>
      </c>
      <c r="E34" s="8">
        <f>+'Strings non Elem'!F34+Art!E34+Music!E34+Vocal!E34+Band!E34+'Elem Strings'!E34+'Grants Donations'!E34</f>
        <v>0</v>
      </c>
      <c r="F34" s="8">
        <f>+'Strings non Elem'!G34+Art!F34+Music!F34+Vocal!F34+Band!F34+'Elem Strings'!F34+'Grants Donations'!F34</f>
        <v>0</v>
      </c>
      <c r="G34" s="8">
        <f>+'Strings non Elem'!H34+Art!G34+Music!G34+Vocal!G34+Band!G34+'Elem Strings'!G34+'Grants Donations'!G34</f>
        <v>0</v>
      </c>
      <c r="H34" s="8">
        <f>+'Strings non Elem'!I34+Art!H34+Music!H34+Vocal!H34+Band!H34+'Elem Strings'!H34+'Grants Donations'!H34</f>
        <v>0</v>
      </c>
      <c r="I34" s="8">
        <f>+'Strings non Elem'!J34+Art!I34+Music!I34+Vocal!I34+Band!I34+'Elem Strings'!I34+'Grants Donations'!I34</f>
        <v>0</v>
      </c>
      <c r="J34" s="8">
        <f>+'Strings non Elem'!K34+Art!J34+Music!J34+Vocal!J34+Band!J34+'Elem Strings'!J34+'Grants Donations'!J34</f>
        <v>0</v>
      </c>
      <c r="K34" s="8">
        <f>+'Strings non Elem'!L34+Art!K34+Music!K34+Vocal!K34+Band!K34+'Elem Strings'!K34+'Grants Donations'!K34</f>
        <v>0</v>
      </c>
      <c r="L34" s="8">
        <f>+'Strings non Elem'!M34+Art!L34+Music!L34+Vocal!L34+Band!L34+'Elem Strings'!L34+'Grants Donations'!L34</f>
        <v>0</v>
      </c>
      <c r="M34" s="8">
        <f>+'Strings non Elem'!N34+Art!M34+Music!M34+Vocal!M34+Band!M34+'Elem Strings'!M34+'Grants Donations'!M34</f>
        <v>0</v>
      </c>
      <c r="N34" s="8">
        <f>+'Strings non Elem'!O34+Art!N34+Music!N34+Vocal!N34+Band!N34+'Elem Strings'!N34+'Grants Donations'!N34</f>
        <v>0</v>
      </c>
      <c r="O34" s="8">
        <f>+'Strings non Elem'!P34+Art!O34+Music!O34+Vocal!O34+Band!O34+'Elem Strings'!O34+'Grants Donations'!O34</f>
        <v>0</v>
      </c>
      <c r="P34" s="8">
        <f>+'Strings non Elem'!Q34+Art!P34+Music!P34+Vocal!P34+Band!P34+'Elem Strings'!P34+'Grants Donations'!P34</f>
        <v>0</v>
      </c>
      <c r="Q34" s="8">
        <f>+'Strings non Elem'!R34+Art!Q34+Music!Q34+Vocal!Q34+Band!Q34+'Elem Strings'!Q34+'Grants Donations'!Q34</f>
        <v>0</v>
      </c>
      <c r="R34" s="6"/>
      <c r="S34" s="6"/>
      <c r="T34" s="6"/>
      <c r="U34" s="6"/>
      <c r="V34" s="6"/>
      <c r="W34" s="6"/>
      <c r="X34" s="6"/>
      <c r="Y34" s="6"/>
    </row>
    <row r="35" spans="1:25" ht="12.75">
      <c r="A35" t="s">
        <v>57</v>
      </c>
      <c r="B35" s="8">
        <f>+'Strings non Elem'!C35+Art!B35+Music!B35+Vocal!B35+Band!B35+'Elem Strings'!B35+'Grants Donations'!B35</f>
        <v>0</v>
      </c>
      <c r="C35" s="8">
        <f>+'Strings non Elem'!D35+Art!C35+Music!C35+Vocal!C35+Band!C35+'Elem Strings'!C35+'Grants Donations'!C35</f>
        <v>1159994.04</v>
      </c>
      <c r="D35" s="8">
        <f>+'Strings non Elem'!E35+Art!D35+Music!D35+Vocal!D35+Band!D35+'Elem Strings'!D35+'Grants Donations'!D35</f>
        <v>1812455.4699999997</v>
      </c>
      <c r="E35" s="8">
        <f>+'Strings non Elem'!F35+Art!E35+Music!E35+Vocal!E35+Band!E35+'Elem Strings'!E35+'Grants Donations'!E35</f>
        <v>0</v>
      </c>
      <c r="F35" s="8">
        <f>+'Strings non Elem'!G35+Art!F35+Music!F35+Vocal!F35+Band!F35+'Elem Strings'!F35+'Grants Donations'!F35</f>
        <v>2087407.1300000001</v>
      </c>
      <c r="G35" s="8">
        <f>+'Strings non Elem'!H35+Art!G35+Music!G35+Vocal!G35+Band!G35+'Elem Strings'!G35+'Grants Donations'!G35</f>
        <v>1849189.625225682</v>
      </c>
      <c r="H35" s="8">
        <f>+'Strings non Elem'!I35+Art!H35+Music!H35+Vocal!H35+Band!H35+'Elem Strings'!H35+'Grants Donations'!H35</f>
        <v>0</v>
      </c>
      <c r="I35" s="8">
        <f>+'Strings non Elem'!J35+Art!I35+Music!I35+Vocal!I35+Band!I35+'Elem Strings'!I35+'Grants Donations'!I35</f>
        <v>2176325.49</v>
      </c>
      <c r="J35" s="8">
        <f>+'Strings non Elem'!K35+Art!J35+Music!J35+Vocal!J35+Band!J35+'Elem Strings'!J35+'Grants Donations'!J35</f>
        <v>2093449.68</v>
      </c>
      <c r="K35" s="8">
        <f>+'Strings non Elem'!L35+Art!K35+Music!K35+Vocal!K35+Band!K35+'Elem Strings'!K35+'Grants Donations'!K35</f>
        <v>0</v>
      </c>
      <c r="L35" s="8">
        <f>+'Strings non Elem'!M35+Art!L35+Music!L35+Vocal!L35+Band!L35+'Elem Strings'!L35+'Grants Donations'!L35</f>
        <v>1992990.9000000001</v>
      </c>
      <c r="M35" s="8">
        <f>+'Strings non Elem'!N35+Art!M35+Music!M35+Vocal!M35+Band!M35+'Elem Strings'!M35+'Grants Donations'!M35</f>
        <v>1966887.7500000002</v>
      </c>
      <c r="N35" s="8">
        <f>+'Strings non Elem'!O35+Art!N35+Music!N35+Vocal!N35+Band!N35+'Elem Strings'!N35+'Grants Donations'!N35</f>
        <v>0</v>
      </c>
      <c r="O35" s="8">
        <f>+'Strings non Elem'!P35+Art!O35+Music!O35+Vocal!O35+Band!O35+'Elem Strings'!O35+'Grants Donations'!O35</f>
        <v>1917236.41</v>
      </c>
      <c r="P35" s="8">
        <f>+'Strings non Elem'!Q35+Art!P35+Music!P35+Vocal!P35+Band!P35+'Elem Strings'!P35+'Grants Donations'!P35</f>
        <v>0</v>
      </c>
      <c r="Q35" s="8">
        <f>+'Strings non Elem'!R35+Art!Q35+Music!Q35+Vocal!Q35+Band!Q35+'Elem Strings'!Q35+'Grants Donations'!Q35</f>
        <v>2018663.5799999998</v>
      </c>
      <c r="R35" s="6"/>
      <c r="S35" s="6"/>
      <c r="T35" s="6"/>
      <c r="U35" s="6"/>
      <c r="V35" s="6"/>
      <c r="W35" s="6"/>
      <c r="X35" s="6"/>
      <c r="Y35" s="6"/>
    </row>
    <row r="36" spans="1:25" ht="12.75">
      <c r="A36" t="s">
        <v>58</v>
      </c>
      <c r="B36" s="8">
        <f>+'Strings non Elem'!C36+Art!B36+Music!B36+Vocal!B36+Band!B36+'Elem Strings'!B36+'Grants Donations'!B36</f>
        <v>0</v>
      </c>
      <c r="C36" s="8">
        <f>+'Strings non Elem'!D36+Art!C36+Music!C36+Vocal!C36+Band!C36+'Elem Strings'!C36+'Grants Donations'!C36</f>
        <v>3934590.5300000003</v>
      </c>
      <c r="D36" s="8">
        <f>+'Strings non Elem'!E36+Art!D36+Music!D36+Vocal!D36+Band!D36+'Elem Strings'!D36+'Grants Donations'!D36</f>
        <v>6145425.25</v>
      </c>
      <c r="E36" s="8">
        <f>+'Strings non Elem'!F36+Art!E36+Music!E36+Vocal!E36+Band!E36+'Elem Strings'!E36+'Grants Donations'!E36</f>
        <v>0</v>
      </c>
      <c r="F36" s="8">
        <f>+'Strings non Elem'!G36+Art!F36+Music!F36+Vocal!F36+Band!F36+'Elem Strings'!F36+'Grants Donations'!F36</f>
        <v>7513951.399999999</v>
      </c>
      <c r="G36" s="8">
        <f>+'Strings non Elem'!H36+Art!G36+Music!G36+Vocal!G36+Band!G36+'Elem Strings'!G36+'Grants Donations'!G36</f>
        <v>6652558.230407014</v>
      </c>
      <c r="H36" s="8">
        <f>+'Strings non Elem'!I36+Art!H36+Music!H36+Vocal!H36+Band!H36+'Elem Strings'!H36+'Grants Donations'!H36</f>
        <v>0</v>
      </c>
      <c r="I36" s="8">
        <f>+'Strings non Elem'!J36+Art!I36+Music!I36+Vocal!I36+Band!I36+'Elem Strings'!I36+'Grants Donations'!I36</f>
        <v>6631023.57</v>
      </c>
      <c r="J36" s="8">
        <f>+'Strings non Elem'!K36+Art!J36+Music!J36+Vocal!J36+Band!J36+'Elem Strings'!J36+'Grants Donations'!J36</f>
        <v>6375190.9</v>
      </c>
      <c r="K36" s="8">
        <f>+'Strings non Elem'!L36+Art!K36+Music!K36+Vocal!K36+Band!K36+'Elem Strings'!K36+'Grants Donations'!K36</f>
        <v>0</v>
      </c>
      <c r="L36" s="8">
        <f>+'Strings non Elem'!M36+Art!L36+Music!L36+Vocal!L36+Band!L36+'Elem Strings'!L36+'Grants Donations'!L36</f>
        <v>6602122.9</v>
      </c>
      <c r="M36" s="8">
        <f>+'Strings non Elem'!N36+Art!M36+Music!M36+Vocal!M36+Band!M36+'Elem Strings'!M36+'Grants Donations'!M36</f>
        <v>6525600.2</v>
      </c>
      <c r="N36" s="8">
        <f>+'Strings non Elem'!O36+Art!N36+Music!N36+Vocal!N36+Band!N36+'Elem Strings'!N36+'Grants Donations'!N36</f>
        <v>0</v>
      </c>
      <c r="O36" s="8">
        <f>+'Strings non Elem'!P36+Art!O36+Music!O36+Vocal!O36+Band!O36+'Elem Strings'!O36+'Grants Donations'!O36</f>
        <v>6570818.13</v>
      </c>
      <c r="P36" s="8">
        <f>+'Strings non Elem'!Q36+Art!P36+Music!P36+Vocal!P36+Band!P36+'Elem Strings'!P36+'Grants Donations'!P36</f>
        <v>0</v>
      </c>
      <c r="Q36" s="8">
        <f>+'Strings non Elem'!R36+Art!Q36+Music!Q36+Vocal!Q36+Band!Q36+'Elem Strings'!Q36+'Grants Donations'!Q36</f>
        <v>6534608.930000001</v>
      </c>
      <c r="R36" s="6"/>
      <c r="S36" s="6"/>
      <c r="T36" s="6"/>
      <c r="U36" s="6"/>
      <c r="V36" s="6"/>
      <c r="W36" s="6"/>
      <c r="X36" s="6"/>
      <c r="Y36" s="6"/>
    </row>
    <row r="37" spans="1:25" ht="12.75">
      <c r="A37" t="s">
        <v>7</v>
      </c>
      <c r="B37" s="8">
        <f>+'Strings non Elem'!C37+Art!B37+Music!B37+Vocal!B37+Band!B37+'Elem Strings'!B37+'Grants Donations'!B37</f>
        <v>0</v>
      </c>
      <c r="C37" s="8">
        <f>+'Strings non Elem'!D37+Art!C37+Music!C37+Vocal!C37+Band!C37+'Elem Strings'!C37+'Grants Donations'!C37</f>
        <v>89773.55</v>
      </c>
      <c r="D37" s="8">
        <f>+'Strings non Elem'!E37+Art!D37+Music!D37+Vocal!D37+Band!D37+'Elem Strings'!D37+'Grants Donations'!D37</f>
        <v>134651.76</v>
      </c>
      <c r="E37" s="8">
        <f>+'Strings non Elem'!F37+Art!E37+Music!E37+Vocal!E37+Band!E37+'Elem Strings'!E37+'Grants Donations'!E37</f>
        <v>0</v>
      </c>
      <c r="F37" s="8">
        <f>+'Strings non Elem'!G37+Art!F37+Music!F37+Vocal!F37+Band!F37+'Elem Strings'!F37+'Grants Donations'!F37</f>
        <v>180970.49</v>
      </c>
      <c r="G37" s="8">
        <f>+'Strings non Elem'!H37+Art!G37+Music!G37+Vocal!G37+Band!G37+'Elem Strings'!G37+'Grants Donations'!G37</f>
        <v>268553.6743673038</v>
      </c>
      <c r="H37" s="8">
        <f>+'Strings non Elem'!I37+Art!H37+Music!H37+Vocal!H37+Band!H37+'Elem Strings'!H37+'Grants Donations'!H37</f>
        <v>0</v>
      </c>
      <c r="I37" s="8">
        <f>+'Strings non Elem'!J37+Art!I37+Music!I37+Vocal!I37+Band!I37+'Elem Strings'!I37+'Grants Donations'!I37</f>
        <v>200621.94</v>
      </c>
      <c r="J37" s="8">
        <f>+'Strings non Elem'!K37+Art!J37+Music!J37+Vocal!J37+Band!J37+'Elem Strings'!J37+'Grants Donations'!J37</f>
        <v>221260.36</v>
      </c>
      <c r="K37" s="8">
        <f>+'Strings non Elem'!L37+Art!K37+Music!K37+Vocal!K37+Band!K37+'Elem Strings'!K37+'Grants Donations'!K37</f>
        <v>0</v>
      </c>
      <c r="L37" s="8">
        <f>+'Strings non Elem'!M37+Art!L37+Music!L37+Vocal!L37+Band!L37+'Elem Strings'!L37+'Grants Donations'!L37</f>
        <v>217198.00000000003</v>
      </c>
      <c r="M37" s="8">
        <f>+'Strings non Elem'!N37+Art!M37+Music!M37+Vocal!M37+Band!M37+'Elem Strings'!M37+'Grants Donations'!M37</f>
        <v>252998.71</v>
      </c>
      <c r="N37" s="8">
        <f>+'Strings non Elem'!O37+Art!N37+Music!N37+Vocal!N37+Band!N37+'Elem Strings'!N37+'Grants Donations'!N37</f>
        <v>0</v>
      </c>
      <c r="O37" s="8">
        <f>+'Strings non Elem'!P37+Art!O37+Music!O37+Vocal!O37+Band!O37+'Elem Strings'!O37+'Grants Donations'!O37</f>
        <v>230267.44</v>
      </c>
      <c r="P37" s="8">
        <f>+'Strings non Elem'!Q37+Art!P37+Music!P37+Vocal!P37+Band!P37+'Elem Strings'!P37+'Grants Donations'!P37</f>
        <v>0</v>
      </c>
      <c r="Q37" s="8">
        <f>+'Strings non Elem'!R37+Art!Q37+Music!Q37+Vocal!Q37+Band!Q37+'Elem Strings'!Q37+'Grants Donations'!Q37</f>
        <v>257802.59000000003</v>
      </c>
      <c r="R37" s="6"/>
      <c r="S37" s="6"/>
      <c r="T37" s="6"/>
      <c r="U37" s="6"/>
      <c r="V37" s="6"/>
      <c r="W37" s="6"/>
      <c r="X37" s="6"/>
      <c r="Y37" s="6"/>
    </row>
    <row r="38" spans="2:25" ht="12.75">
      <c r="B38" s="8">
        <f>+'Strings non Elem'!C38+Art!B38+Music!B38+Vocal!B38+Band!B38+'Elem Strings'!B38+'Grants Donations'!B38</f>
        <v>0</v>
      </c>
      <c r="C38" s="8">
        <f>+'Strings non Elem'!D38+Art!C38+Music!C38+Vocal!C38+Band!C38+'Elem Strings'!C38+'Grants Donations'!C38</f>
        <v>0</v>
      </c>
      <c r="D38" s="8">
        <f>+'Strings non Elem'!E38+Art!D38+Music!D38+Vocal!D38+Band!D38+'Elem Strings'!D38+'Grants Donations'!D38</f>
        <v>0</v>
      </c>
      <c r="E38" s="8">
        <f>+'Strings non Elem'!F38+Art!E38+Music!E38+Vocal!E38+Band!E38+'Elem Strings'!E38+'Grants Donations'!E38</f>
        <v>0</v>
      </c>
      <c r="F38" s="8">
        <f>+'Strings non Elem'!G38+Art!F38+Music!F38+Vocal!F38+Band!F38+'Elem Strings'!F38+'Grants Donations'!F38</f>
        <v>0</v>
      </c>
      <c r="G38" s="8">
        <f>+'Strings non Elem'!H38+Art!G38+Music!G38+Vocal!G38+Band!G38+'Elem Strings'!G38+'Grants Donations'!G38</f>
        <v>0</v>
      </c>
      <c r="H38" s="8">
        <f>+'Strings non Elem'!I38+Art!H38+Music!H38+Vocal!H38+Band!H38+'Elem Strings'!H38+'Grants Donations'!H38</f>
        <v>0</v>
      </c>
      <c r="I38" s="8">
        <f>+'Strings non Elem'!J38+Art!I38+Music!I38+Vocal!I38+Band!I38+'Elem Strings'!I38+'Grants Donations'!I38</f>
        <v>0</v>
      </c>
      <c r="J38" s="8">
        <f>+'Strings non Elem'!K38+Art!J38+Music!J38+Vocal!J38+Band!J38+'Elem Strings'!J38+'Grants Donations'!J38</f>
        <v>0</v>
      </c>
      <c r="K38" s="8">
        <f>+'Strings non Elem'!L38+Art!K38+Music!K38+Vocal!K38+Band!K38+'Elem Strings'!K38+'Grants Donations'!K38</f>
        <v>0</v>
      </c>
      <c r="L38" s="8">
        <f>+'Strings non Elem'!M38+Art!L38+Music!L38+Vocal!L38+Band!L38+'Elem Strings'!L38+'Grants Donations'!L38</f>
        <v>0</v>
      </c>
      <c r="M38" s="8">
        <f>+'Strings non Elem'!N38+Art!M38+Music!M38+Vocal!M38+Band!M38+'Elem Strings'!M38+'Grants Donations'!M38</f>
        <v>0</v>
      </c>
      <c r="N38" s="8">
        <f>+'Strings non Elem'!O38+Art!N38+Music!N38+Vocal!N38+Band!N38+'Elem Strings'!N38+'Grants Donations'!N38</f>
        <v>0</v>
      </c>
      <c r="O38" s="8">
        <f>+'Strings non Elem'!P38+Art!O38+Music!O38+Vocal!O38+Band!O38+'Elem Strings'!O38+'Grants Donations'!O38</f>
        <v>0</v>
      </c>
      <c r="P38" s="8">
        <f>+'Strings non Elem'!Q38+Art!P38+Music!P38+Vocal!P38+Band!P38+'Elem Strings'!P38+'Grants Donations'!P38</f>
        <v>0</v>
      </c>
      <c r="Q38" s="8">
        <f>+'Strings non Elem'!R38+Art!Q38+Music!Q38+Vocal!Q38+Band!Q38+'Elem Strings'!Q38+'Grants Donations'!Q38</f>
        <v>0</v>
      </c>
      <c r="R38" s="6"/>
      <c r="S38" s="6"/>
      <c r="T38" s="6"/>
      <c r="U38" s="6"/>
      <c r="V38" s="6"/>
      <c r="W38" s="6"/>
      <c r="X38" s="6"/>
      <c r="Y38" s="6"/>
    </row>
    <row r="39" spans="1:25" ht="12.75">
      <c r="A39" t="s">
        <v>20</v>
      </c>
      <c r="B39" s="8">
        <f>+'Strings non Elem'!C39+Art!B39+Music!B39+Vocal!B39+Band!B39+'Elem Strings'!B39+'Grants Donations'!B39</f>
        <v>0</v>
      </c>
      <c r="C39" s="8">
        <f>+'Strings non Elem'!D39+Art!C39+Music!C39+Vocal!C39+Band!C39+'Elem Strings'!C39+'Grants Donations'!C39</f>
        <v>0</v>
      </c>
      <c r="D39" s="8">
        <f>+'Strings non Elem'!E39+Art!D39+Music!D39+Vocal!D39+Band!D39+'Elem Strings'!D39+'Grants Donations'!D39</f>
        <v>1765</v>
      </c>
      <c r="E39" s="8">
        <f>+'Strings non Elem'!F39+Art!E39+Music!E39+Vocal!E39+Band!E39+'Elem Strings'!E39+'Grants Donations'!E39</f>
        <v>0</v>
      </c>
      <c r="F39" s="8">
        <f>+'Strings non Elem'!G39+Art!F39+Music!F39+Vocal!F39+Band!F39+'Elem Strings'!F39+'Grants Donations'!F39</f>
        <v>60560</v>
      </c>
      <c r="G39" s="8">
        <f>+'Strings non Elem'!H39+Art!G39+Music!G39+Vocal!G39+Band!G39+'Elem Strings'!G39+'Grants Donations'!G39</f>
        <v>42307.8</v>
      </c>
      <c r="H39" s="8">
        <f>+'Strings non Elem'!I39+Art!H39+Music!H39+Vocal!H39+Band!H39+'Elem Strings'!H39+'Grants Donations'!H39</f>
        <v>0</v>
      </c>
      <c r="I39" s="8">
        <f>+'Strings non Elem'!J39+Art!I39+Music!I39+Vocal!I39+Band!I39+'Elem Strings'!I39+'Grants Donations'!I39</f>
        <v>72158</v>
      </c>
      <c r="J39" s="8">
        <f>+'Strings non Elem'!K39+Art!J39+Music!J39+Vocal!J39+Band!J39+'Elem Strings'!J39+'Grants Donations'!J39</f>
        <v>48462.5</v>
      </c>
      <c r="K39" s="8">
        <f>+'Strings non Elem'!L39+Art!K39+Music!K39+Vocal!K39+Band!K39+'Elem Strings'!K39+'Grants Donations'!K39</f>
        <v>0</v>
      </c>
      <c r="L39" s="8">
        <f>+'Strings non Elem'!M39+Art!L39+Music!L39+Vocal!L39+Band!L39+'Elem Strings'!L39+'Grants Donations'!L39</f>
        <v>65372</v>
      </c>
      <c r="M39" s="8">
        <f>+'Strings non Elem'!N39+Art!M39+Music!M39+Vocal!M39+Band!M39+'Elem Strings'!M39+'Grants Donations'!M39</f>
        <v>16557</v>
      </c>
      <c r="N39" s="8">
        <f>+'Strings non Elem'!O39+Art!N39+Music!N39+Vocal!N39+Band!N39+'Elem Strings'!N39+'Grants Donations'!N39</f>
        <v>0</v>
      </c>
      <c r="O39" s="8">
        <f>+'Strings non Elem'!P39+Art!O39+Music!O39+Vocal!O39+Band!O39+'Elem Strings'!O39+'Grants Donations'!O39</f>
        <v>65372</v>
      </c>
      <c r="P39" s="8">
        <f>+'Strings non Elem'!Q39+Art!P39+Music!P39+Vocal!P39+Band!P39+'Elem Strings'!P39+'Grants Donations'!P39</f>
        <v>0</v>
      </c>
      <c r="Q39" s="8">
        <f>+'Strings non Elem'!R39+Art!Q39+Music!Q39+Vocal!Q39+Band!Q39+'Elem Strings'!Q39+'Grants Donations'!Q39</f>
        <v>0</v>
      </c>
      <c r="R39" s="6"/>
      <c r="S39" s="6"/>
      <c r="T39" s="6"/>
      <c r="U39" s="6"/>
      <c r="V39" s="6"/>
      <c r="W39" s="6"/>
      <c r="X39" s="6"/>
      <c r="Y39" s="6"/>
    </row>
    <row r="40" spans="1:25" ht="12.75">
      <c r="A40" t="s">
        <v>19</v>
      </c>
      <c r="B40" s="8">
        <f>+'Strings non Elem'!C40+Art!B40+Music!B40+Vocal!B40+Band!B40+'Elem Strings'!B40+'Grants Donations'!B40</f>
        <v>0</v>
      </c>
      <c r="C40" s="8">
        <f>+'Strings non Elem'!D40+Art!C40+Music!C40+Vocal!C40+Band!C40+'Elem Strings'!C40+'Grants Donations'!C40</f>
        <v>136506</v>
      </c>
      <c r="D40" s="8">
        <f>+'Strings non Elem'!E40+Art!D40+Music!D40+Vocal!D40+Band!D40+'Elem Strings'!D40+'Grants Donations'!D40</f>
        <v>100319</v>
      </c>
      <c r="E40" s="8">
        <f>+'Strings non Elem'!F40+Art!E40+Music!E40+Vocal!E40+Band!E40+'Elem Strings'!E40+'Grants Donations'!E40</f>
        <v>0</v>
      </c>
      <c r="F40" s="8">
        <f>+'Strings non Elem'!G40+Art!F40+Music!F40+Vocal!F40+Band!F40+'Elem Strings'!F40+'Grants Donations'!F40</f>
        <v>194577</v>
      </c>
      <c r="G40" s="8">
        <f>+'Strings non Elem'!H40+Art!G40+Music!G40+Vocal!G40+Band!G40+'Elem Strings'!G40+'Grants Donations'!G40</f>
        <v>102618.7</v>
      </c>
      <c r="H40" s="8">
        <f>+'Strings non Elem'!I40+Art!H40+Music!H40+Vocal!H40+Band!H40+'Elem Strings'!H40+'Grants Donations'!H40</f>
        <v>0</v>
      </c>
      <c r="I40" s="8">
        <f>+'Strings non Elem'!J40+Art!I40+Music!I40+Vocal!I40+Band!I40+'Elem Strings'!I40+'Grants Donations'!I40</f>
        <v>206865</v>
      </c>
      <c r="J40" s="8">
        <f>+'Strings non Elem'!K40+Art!J40+Music!J40+Vocal!J40+Band!J40+'Elem Strings'!J40+'Grants Donations'!J40</f>
        <v>86557.5</v>
      </c>
      <c r="K40" s="8">
        <f>+'Strings non Elem'!L40+Art!K40+Music!K40+Vocal!K40+Band!K40+'Elem Strings'!K40+'Grants Donations'!K40</f>
        <v>0</v>
      </c>
      <c r="L40" s="8">
        <f>+'Strings non Elem'!M40+Art!L40+Music!L40+Vocal!L40+Band!L40+'Elem Strings'!L40+'Grants Donations'!L40</f>
        <v>125010</v>
      </c>
      <c r="M40" s="8">
        <f>+'Strings non Elem'!N40+Art!M40+Music!M40+Vocal!M40+Band!M40+'Elem Strings'!M40+'Grants Donations'!M40</f>
        <v>71037</v>
      </c>
      <c r="N40" s="8">
        <f>+'Strings non Elem'!O40+Art!N40+Music!N40+Vocal!N40+Band!N40+'Elem Strings'!N40+'Grants Donations'!N40</f>
        <v>0</v>
      </c>
      <c r="O40" s="8">
        <f>+'Strings non Elem'!P40+Art!O40+Music!O40+Vocal!O40+Band!O40+'Elem Strings'!O40+'Grants Donations'!O40</f>
        <v>125010</v>
      </c>
      <c r="P40" s="8">
        <f>+'Strings non Elem'!Q40+Art!P40+Music!P40+Vocal!P40+Band!P40+'Elem Strings'!P40+'Grants Donations'!P40</f>
        <v>0</v>
      </c>
      <c r="Q40" s="8">
        <f>+'Strings non Elem'!R40+Art!Q40+Music!Q40+Vocal!Q40+Band!Q40+'Elem Strings'!Q40+'Grants Donations'!Q40</f>
        <v>86477</v>
      </c>
      <c r="R40" s="6"/>
      <c r="S40" s="6"/>
      <c r="T40" s="6"/>
      <c r="U40" s="6"/>
      <c r="V40" s="6"/>
      <c r="W40" s="6"/>
      <c r="X40" s="6"/>
      <c r="Y40" s="6"/>
    </row>
    <row r="41" spans="1:25" ht="12.75">
      <c r="A41" t="s">
        <v>54</v>
      </c>
      <c r="B41" s="8">
        <f>+'Strings non Elem'!C41+Art!B41+Music!B41+Vocal!B41+Band!B41+'Elem Strings'!B41+'Grants Donations'!B41</f>
        <v>0</v>
      </c>
      <c r="C41" s="8">
        <f>+'Strings non Elem'!D41+Art!C41+Music!C41+Vocal!C41+Band!C41+'Elem Strings'!C41+'Grants Donations'!C41</f>
        <v>0</v>
      </c>
      <c r="D41" s="8">
        <f>+'Strings non Elem'!E41+Art!D41+Music!D41+Vocal!D41+Band!D41+'Elem Strings'!D41+'Grants Donations'!D41</f>
        <v>0</v>
      </c>
      <c r="E41" s="8">
        <f>+'Strings non Elem'!F41+Art!E41+Music!E41+Vocal!E41+Band!E41+'Elem Strings'!E41+'Grants Donations'!E41</f>
        <v>0</v>
      </c>
      <c r="F41" s="8">
        <f>+'Strings non Elem'!G41+Art!F41+Music!F41+Vocal!F41+Band!F41+'Elem Strings'!F41+'Grants Donations'!F41</f>
        <v>2606</v>
      </c>
      <c r="G41" s="8">
        <f>+'Strings non Elem'!H41+Art!G41+Music!G41+Vocal!G41+Band!G41+'Elem Strings'!G41+'Grants Donations'!G41</f>
        <v>5080</v>
      </c>
      <c r="H41" s="8">
        <f>+'Strings non Elem'!I41+Art!H41+Music!H41+Vocal!H41+Band!H41+'Elem Strings'!H41+'Grants Donations'!H41</f>
        <v>0</v>
      </c>
      <c r="I41" s="8">
        <f>+'Strings non Elem'!J41+Art!I41+Music!I41+Vocal!I41+Band!I41+'Elem Strings'!I41+'Grants Donations'!I41</f>
        <v>1834</v>
      </c>
      <c r="J41" s="8">
        <f>+'Strings non Elem'!K41+Art!J41+Music!J41+Vocal!J41+Band!J41+'Elem Strings'!J41+'Grants Donations'!J41</f>
        <v>6109</v>
      </c>
      <c r="K41" s="8">
        <f>+'Strings non Elem'!L41+Art!K41+Music!K41+Vocal!K41+Band!K41+'Elem Strings'!K41+'Grants Donations'!K41</f>
        <v>0</v>
      </c>
      <c r="L41" s="8">
        <f>+'Strings non Elem'!M41+Art!L41+Music!L41+Vocal!L41+Band!L41+'Elem Strings'!L41+'Grants Donations'!L41</f>
        <v>0</v>
      </c>
      <c r="M41" s="8">
        <f>+'Strings non Elem'!N41+Art!M41+Music!M41+Vocal!M41+Band!M41+'Elem Strings'!M41+'Grants Donations'!M41</f>
        <v>61</v>
      </c>
      <c r="N41" s="8">
        <f>+'Strings non Elem'!O41+Art!N41+Music!N41+Vocal!N41+Band!N41+'Elem Strings'!N41+'Grants Donations'!N41</f>
        <v>0</v>
      </c>
      <c r="O41" s="8">
        <f>+'Strings non Elem'!P41+Art!O41+Music!O41+Vocal!O41+Band!O41+'Elem Strings'!O41+'Grants Donations'!O41</f>
        <v>0</v>
      </c>
      <c r="P41" s="8">
        <f>+'Strings non Elem'!Q41+Art!P41+Music!P41+Vocal!P41+Band!P41+'Elem Strings'!P41+'Grants Donations'!P41</f>
        <v>0</v>
      </c>
      <c r="Q41" s="8">
        <f>+'Strings non Elem'!R41+Art!Q41+Music!Q41+Vocal!Q41+Band!Q41+'Elem Strings'!Q41+'Grants Donations'!Q41</f>
        <v>8248</v>
      </c>
      <c r="R41" s="6"/>
      <c r="S41" s="6"/>
      <c r="T41" s="6"/>
      <c r="U41" s="6"/>
      <c r="V41" s="6"/>
      <c r="W41" s="6"/>
      <c r="X41" s="6"/>
      <c r="Y41" s="6"/>
    </row>
    <row r="42" spans="2:25" ht="12.75">
      <c r="B42" s="8">
        <f>+'Strings non Elem'!C42+Art!B42+Music!B42+Vocal!B42+Band!B42+'Elem Strings'!B42+'Grants Donations'!B42</f>
        <v>0</v>
      </c>
      <c r="C42" s="8">
        <f>+'Strings non Elem'!D42+Art!C42+Music!C42+Vocal!C42+Band!C42+'Elem Strings'!C42+'Grants Donations'!C42</f>
        <v>0</v>
      </c>
      <c r="D42" s="8">
        <f>+'Strings non Elem'!E42+Art!D42+Music!D42+Vocal!D42+Band!D42+'Elem Strings'!D42+'Grants Donations'!D42</f>
        <v>0</v>
      </c>
      <c r="E42" s="8">
        <f>+'Strings non Elem'!F42+Art!E42+Music!E42+Vocal!E42+Band!E42+'Elem Strings'!E42+'Grants Donations'!E42</f>
        <v>0</v>
      </c>
      <c r="F42" s="8">
        <f>+'Strings non Elem'!G42+Art!F42+Music!F42+Vocal!F42+Band!F42+'Elem Strings'!F42+'Grants Donations'!F42</f>
        <v>0</v>
      </c>
      <c r="G42" s="8">
        <f>+'Strings non Elem'!H42+Art!G42+Music!G42+Vocal!G42+Band!G42+'Elem Strings'!G42+'Grants Donations'!G42</f>
        <v>0</v>
      </c>
      <c r="H42" s="8">
        <f>+'Strings non Elem'!I42+Art!H42+Music!H42+Vocal!H42+Band!H42+'Elem Strings'!H42+'Grants Donations'!H42</f>
        <v>0</v>
      </c>
      <c r="I42" s="8">
        <f>+'Strings non Elem'!J42+Art!I42+Music!I42+Vocal!I42+Band!I42+'Elem Strings'!I42+'Grants Donations'!I42</f>
        <v>0</v>
      </c>
      <c r="J42" s="8">
        <f>+'Strings non Elem'!K42+Art!J42+Music!J42+Vocal!J42+Band!J42+'Elem Strings'!J42+'Grants Donations'!J42</f>
        <v>0</v>
      </c>
      <c r="K42" s="8">
        <f>+'Strings non Elem'!L42+Art!K42+Music!K42+Vocal!K42+Band!K42+'Elem Strings'!K42+'Grants Donations'!K42</f>
        <v>0</v>
      </c>
      <c r="L42" s="8">
        <f>+'Strings non Elem'!M42+Art!L42+Music!L42+Vocal!L42+Band!L42+'Elem Strings'!L42+'Grants Donations'!L42</f>
        <v>0</v>
      </c>
      <c r="M42" s="8">
        <f>+'Strings non Elem'!N42+Art!M42+Music!M42+Vocal!M42+Band!M42+'Elem Strings'!M42+'Grants Donations'!M42</f>
        <v>0</v>
      </c>
      <c r="N42" s="8">
        <f>+'Strings non Elem'!O42+Art!N42+Music!N42+Vocal!N42+Band!N42+'Elem Strings'!N42+'Grants Donations'!N42</f>
        <v>0</v>
      </c>
      <c r="O42" s="8">
        <f>+'Strings non Elem'!P42+Art!O42+Music!O42+Vocal!O42+Band!O42+'Elem Strings'!O42+'Grants Donations'!O42</f>
        <v>0</v>
      </c>
      <c r="P42" s="8">
        <f>+'Strings non Elem'!Q42+Art!P42+Music!P42+Vocal!P42+Band!P42+'Elem Strings'!P42+'Grants Donations'!P42</f>
        <v>0</v>
      </c>
      <c r="Q42" s="8">
        <f>+'Strings non Elem'!R42+Art!Q42+Music!Q42+Vocal!Q42+Band!Q42+'Elem Strings'!Q42+'Grants Donations'!Q42</f>
        <v>0</v>
      </c>
      <c r="R42" s="6"/>
      <c r="S42" s="6"/>
      <c r="T42" s="6"/>
      <c r="U42" s="6"/>
      <c r="V42" s="6"/>
      <c r="W42" s="6"/>
      <c r="X42" s="6"/>
      <c r="Y42" s="6"/>
    </row>
    <row r="43" spans="1:25" s="1" customFormat="1" ht="12.75">
      <c r="A43" s="1" t="s">
        <v>15</v>
      </c>
      <c r="B43" s="8">
        <f>+'Strings non Elem'!C43+Art!B43+Music!B43+Vocal!B43+Band!B43+'Elem Strings'!B43+'Grants Donations'!B43</f>
        <v>0</v>
      </c>
      <c r="C43" s="8">
        <f>+'Strings non Elem'!D43+Art!C43+Music!C43+Vocal!C43+Band!C43+'Elem Strings'!C43+'Grants Donations'!C43</f>
        <v>0</v>
      </c>
      <c r="D43" s="8">
        <f>+'Strings non Elem'!E43+Art!D43+Music!D43+Vocal!D43+Band!D43+'Elem Strings'!D43+'Grants Donations'!D43</f>
        <v>11530</v>
      </c>
      <c r="E43" s="8">
        <f>+'Strings non Elem'!F43+Art!E43+Music!E43+Vocal!E43+Band!E43+'Elem Strings'!E43+'Grants Donations'!E43</f>
        <v>0</v>
      </c>
      <c r="F43" s="8">
        <f>+'Strings non Elem'!G43+Art!F43+Music!F43+Vocal!F43+Band!F43+'Elem Strings'!F43+'Grants Donations'!F43</f>
        <v>0</v>
      </c>
      <c r="G43" s="8">
        <f>+'Strings non Elem'!H43+Art!G43+Music!G43+Vocal!G43+Band!G43+'Elem Strings'!G43+'Grants Donations'!G43</f>
        <v>12988</v>
      </c>
      <c r="H43" s="8">
        <f>+'Strings non Elem'!I43+Art!H43+Music!H43+Vocal!H43+Band!H43+'Elem Strings'!H43+'Grants Donations'!H43</f>
        <v>0</v>
      </c>
      <c r="I43" s="8">
        <f>+'Strings non Elem'!J43+Art!I43+Music!I43+Vocal!I43+Band!I43+'Elem Strings'!I43+'Grants Donations'!I43</f>
        <v>0</v>
      </c>
      <c r="J43" s="8">
        <f>+'Strings non Elem'!K43+Art!J43+Music!J43+Vocal!J43+Band!J43+'Elem Strings'!J43+'Grants Donations'!J43</f>
        <v>33598</v>
      </c>
      <c r="K43" s="8">
        <f>+'Strings non Elem'!L43+Art!K43+Music!K43+Vocal!K43+Band!K43+'Elem Strings'!K43+'Grants Donations'!K43</f>
        <v>0</v>
      </c>
      <c r="L43" s="8">
        <f>+'Strings non Elem'!M43+Art!L43+Music!L43+Vocal!L43+Band!L43+'Elem Strings'!L43+'Grants Donations'!L43</f>
        <v>0</v>
      </c>
      <c r="M43" s="8">
        <f>+'Strings non Elem'!N43+Art!M43+Music!M43+Vocal!M43+Band!M43+'Elem Strings'!M43+'Grants Donations'!M43</f>
        <v>54053</v>
      </c>
      <c r="N43" s="8">
        <f>+'Strings non Elem'!O43+Art!N43+Music!N43+Vocal!N43+Band!N43+'Elem Strings'!N43+'Grants Donations'!N43</f>
        <v>0</v>
      </c>
      <c r="O43" s="8">
        <f>+'Strings non Elem'!P43+Art!O43+Music!O43+Vocal!O43+Band!O43+'Elem Strings'!O43+'Grants Donations'!O43</f>
        <v>33676</v>
      </c>
      <c r="P43" s="8">
        <f>+'Strings non Elem'!Q43+Art!P43+Music!P43+Vocal!P43+Band!P43+'Elem Strings'!P43+'Grants Donations'!P43</f>
        <v>0</v>
      </c>
      <c r="Q43" s="8">
        <f>+'Strings non Elem'!R43+Art!Q43+Music!Q43+Vocal!Q43+Band!Q43+'Elem Strings'!Q43+'Grants Donations'!Q43</f>
        <v>0</v>
      </c>
      <c r="R43" s="6"/>
      <c r="S43" s="6"/>
      <c r="T43" s="6"/>
      <c r="U43" s="6"/>
      <c r="V43" s="6"/>
      <c r="W43" s="6"/>
      <c r="X43" s="6"/>
      <c r="Y43" s="6"/>
    </row>
    <row r="44" spans="1:25" s="1" customFormat="1" ht="12.75">
      <c r="A44" s="1" t="s">
        <v>17</v>
      </c>
      <c r="B44" s="8">
        <f>+'Strings non Elem'!C44+Art!B44+Music!B44+Vocal!B44+Band!B44+'Elem Strings'!B44+'Grants Donations'!B44</f>
        <v>0</v>
      </c>
      <c r="C44" s="8">
        <f>+'Strings non Elem'!D44+Art!C44+Music!C44+Vocal!C44+Band!C44+'Elem Strings'!C44+'Grants Donations'!C44</f>
        <v>0</v>
      </c>
      <c r="D44" s="8">
        <f>+'Strings non Elem'!E44+Art!D44+Music!D44+Vocal!D44+Band!D44+'Elem Strings'!D44+'Grants Donations'!D44</f>
        <v>11906</v>
      </c>
      <c r="E44" s="8">
        <f>+'Strings non Elem'!F44+Art!E44+Music!E44+Vocal!E44+Band!E44+'Elem Strings'!E44+'Grants Donations'!E44</f>
        <v>0</v>
      </c>
      <c r="F44" s="8">
        <f>+'Strings non Elem'!G44+Art!F44+Music!F44+Vocal!F44+Band!F44+'Elem Strings'!F44+'Grants Donations'!F44</f>
        <v>0</v>
      </c>
      <c r="G44" s="8">
        <f>+'Strings non Elem'!H44+Art!G44+Music!G44+Vocal!G44+Band!G44+'Elem Strings'!G44+'Grants Donations'!G44</f>
        <v>600</v>
      </c>
      <c r="H44" s="8">
        <f>+'Strings non Elem'!I44+Art!H44+Music!H44+Vocal!H44+Band!H44+'Elem Strings'!H44+'Grants Donations'!H44</f>
        <v>0</v>
      </c>
      <c r="I44" s="8">
        <f>+'Strings non Elem'!J44+Art!I44+Music!I44+Vocal!I44+Band!I44+'Elem Strings'!I44+'Grants Donations'!I44</f>
        <v>0</v>
      </c>
      <c r="J44" s="8">
        <f>+'Strings non Elem'!K44+Art!J44+Music!J44+Vocal!J44+Band!J44+'Elem Strings'!J44+'Grants Donations'!J44</f>
        <v>9930</v>
      </c>
      <c r="K44" s="8">
        <f>+'Strings non Elem'!L44+Art!K44+Music!K44+Vocal!K44+Band!K44+'Elem Strings'!K44+'Grants Donations'!K44</f>
        <v>0</v>
      </c>
      <c r="L44" s="8">
        <f>+'Strings non Elem'!M44+Art!L44+Music!L44+Vocal!L44+Band!L44+'Elem Strings'!L44+'Grants Donations'!L44</f>
        <v>0</v>
      </c>
      <c r="M44" s="8">
        <f>+'Strings non Elem'!N44+Art!M44+Music!M44+Vocal!M44+Band!M44+'Elem Strings'!M44+'Grants Donations'!M44</f>
        <v>19126</v>
      </c>
      <c r="N44" s="8">
        <f>+'Strings non Elem'!O44+Art!N44+Music!N44+Vocal!N44+Band!N44+'Elem Strings'!N44+'Grants Donations'!N44</f>
        <v>0</v>
      </c>
      <c r="O44" s="8">
        <f>+'Strings non Elem'!P44+Art!O44+Music!O44+Vocal!O44+Band!O44+'Elem Strings'!O44+'Grants Donations'!O44</f>
        <v>5915</v>
      </c>
      <c r="P44" s="8">
        <f>+'Strings non Elem'!Q44+Art!P44+Music!P44+Vocal!P44+Band!P44+'Elem Strings'!P44+'Grants Donations'!P44</f>
        <v>0</v>
      </c>
      <c r="Q44" s="8">
        <f>+'Strings non Elem'!R44+Art!Q44+Music!Q44+Vocal!Q44+Band!Q44+'Elem Strings'!Q44+'Grants Donations'!Q44</f>
        <v>0</v>
      </c>
      <c r="R44" s="6"/>
      <c r="S44" s="6"/>
      <c r="T44" s="6"/>
      <c r="U44" s="6"/>
      <c r="V44" s="6"/>
      <c r="W44" s="6"/>
      <c r="X44" s="6"/>
      <c r="Y44" s="6"/>
    </row>
    <row r="45" spans="1:25" s="1" customFormat="1" ht="12.75">
      <c r="A45" s="1" t="s">
        <v>16</v>
      </c>
      <c r="B45" s="8">
        <f>+'Strings non Elem'!C45+Art!B45+Music!B45+Vocal!B45+Band!B45+'Elem Strings'!B45+'Grants Donations'!B45</f>
        <v>0</v>
      </c>
      <c r="C45" s="8">
        <f>+'Strings non Elem'!D45+Art!C45+Music!C45+Vocal!C45+Band!C45+'Elem Strings'!C45+'Grants Donations'!C45</f>
        <v>0</v>
      </c>
      <c r="D45" s="8">
        <f>+'Strings non Elem'!E45+Art!D45+Music!D45+Vocal!D45+Band!D45+'Elem Strings'!D45+'Grants Donations'!D45</f>
        <v>444</v>
      </c>
      <c r="E45" s="8">
        <f>+'Strings non Elem'!F45+Art!E45+Music!E45+Vocal!E45+Band!E45+'Elem Strings'!E45+'Grants Donations'!E45</f>
        <v>0</v>
      </c>
      <c r="F45" s="8">
        <f>+'Strings non Elem'!G45+Art!F45+Music!F45+Vocal!F45+Band!F45+'Elem Strings'!F45+'Grants Donations'!F45</f>
        <v>0</v>
      </c>
      <c r="G45" s="8">
        <f>+'Strings non Elem'!H45+Art!G45+Music!G45+Vocal!G45+Band!G45+'Elem Strings'!G45+'Grants Donations'!G45</f>
        <v>431</v>
      </c>
      <c r="H45" s="8">
        <f>+'Strings non Elem'!I45+Art!H45+Music!H45+Vocal!H45+Band!H45+'Elem Strings'!H45+'Grants Donations'!H45</f>
        <v>0</v>
      </c>
      <c r="I45" s="8">
        <f>+'Strings non Elem'!J45+Art!I45+Music!I45+Vocal!I45+Band!I45+'Elem Strings'!I45+'Grants Donations'!I45</f>
        <v>0</v>
      </c>
      <c r="J45" s="8">
        <f>+'Strings non Elem'!K45+Art!J45+Music!J45+Vocal!J45+Band!J45+'Elem Strings'!J45+'Grants Donations'!J45</f>
        <v>895</v>
      </c>
      <c r="K45" s="8">
        <f>+'Strings non Elem'!L45+Art!K45+Music!K45+Vocal!K45+Band!K45+'Elem Strings'!K45+'Grants Donations'!K45</f>
        <v>0</v>
      </c>
      <c r="L45" s="8">
        <f>+'Strings non Elem'!M45+Art!L45+Music!L45+Vocal!L45+Band!L45+'Elem Strings'!L45+'Grants Donations'!L45</f>
        <v>0</v>
      </c>
      <c r="M45" s="8">
        <f>+'Strings non Elem'!N45+Art!M45+Music!M45+Vocal!M45+Band!M45+'Elem Strings'!M45+'Grants Donations'!M45</f>
        <v>466</v>
      </c>
      <c r="N45" s="8">
        <f>+'Strings non Elem'!O45+Art!N45+Music!N45+Vocal!N45+Band!N45+'Elem Strings'!N45+'Grants Donations'!N45</f>
        <v>0</v>
      </c>
      <c r="O45" s="8">
        <f>+'Strings non Elem'!P45+Art!O45+Music!O45+Vocal!O45+Band!O45+'Elem Strings'!O45+'Grants Donations'!O45</f>
        <v>0</v>
      </c>
      <c r="P45" s="8">
        <f>+'Strings non Elem'!Q45+Art!P45+Music!P45+Vocal!P45+Band!P45+'Elem Strings'!P45+'Grants Donations'!P45</f>
        <v>0</v>
      </c>
      <c r="Q45" s="8">
        <f>+'Strings non Elem'!R45+Art!Q45+Music!Q45+Vocal!Q45+Band!Q45+'Elem Strings'!Q45+'Grants Donations'!Q45</f>
        <v>0</v>
      </c>
      <c r="R45" s="6"/>
      <c r="S45" s="6"/>
      <c r="T45" s="6"/>
      <c r="U45" s="6"/>
      <c r="V45" s="6"/>
      <c r="W45" s="6"/>
      <c r="X45" s="6"/>
      <c r="Y45" s="6"/>
    </row>
    <row r="46" spans="2:25" ht="12.75">
      <c r="B46" s="8">
        <f>+'Strings non Elem'!C46+Art!B46+Music!B46+Vocal!B46+Band!B46+'Elem Strings'!B46+'Grants Donations'!B46</f>
        <v>0</v>
      </c>
      <c r="C46" s="8">
        <f>+'Strings non Elem'!D46+Art!C46+Music!C46+Vocal!C46+Band!C46+'Elem Strings'!C46+'Grants Donations'!C46</f>
        <v>0</v>
      </c>
      <c r="D46" s="8">
        <f>+'Strings non Elem'!E46+Art!D46+Music!D46+Vocal!D46+Band!D46+'Elem Strings'!D46+'Grants Donations'!D46</f>
        <v>0</v>
      </c>
      <c r="E46" s="8">
        <f>+'Strings non Elem'!F46+Art!E46+Music!E46+Vocal!E46+Band!E46+'Elem Strings'!E46+'Grants Donations'!E46</f>
        <v>0</v>
      </c>
      <c r="F46" s="8">
        <f>+'Strings non Elem'!G46+Art!F46+Music!F46+Vocal!F46+Band!F46+'Elem Strings'!F46+'Grants Donations'!F46</f>
        <v>0</v>
      </c>
      <c r="G46" s="8">
        <f>+'Strings non Elem'!H46+Art!G46+Music!G46+Vocal!G46+Band!G46+'Elem Strings'!G46+'Grants Donations'!G46</f>
        <v>0</v>
      </c>
      <c r="H46" s="8">
        <f>+'Strings non Elem'!I46+Art!H46+Music!H46+Vocal!H46+Band!H46+'Elem Strings'!H46+'Grants Donations'!H46</f>
        <v>0</v>
      </c>
      <c r="I46" s="8">
        <f>+'Strings non Elem'!J46+Art!I46+Music!I46+Vocal!I46+Band!I46+'Elem Strings'!I46+'Grants Donations'!I46</f>
        <v>0</v>
      </c>
      <c r="J46" s="8">
        <f>+'Strings non Elem'!K46+Art!J46+Music!J46+Vocal!J46+Band!J46+'Elem Strings'!J46+'Grants Donations'!J46</f>
        <v>0</v>
      </c>
      <c r="K46" s="8">
        <f>+'Strings non Elem'!L46+Art!K46+Music!K46+Vocal!K46+Band!K46+'Elem Strings'!K46+'Grants Donations'!K46</f>
        <v>0</v>
      </c>
      <c r="L46" s="8">
        <f>+'Strings non Elem'!M46+Art!L46+Music!L46+Vocal!L46+Band!L46+'Elem Strings'!L46+'Grants Donations'!L46</f>
        <v>0</v>
      </c>
      <c r="M46" s="8">
        <f>+'Strings non Elem'!N46+Art!M46+Music!M46+Vocal!M46+Band!M46+'Elem Strings'!M46+'Grants Donations'!M46</f>
        <v>0</v>
      </c>
      <c r="N46" s="8">
        <f>+'Strings non Elem'!O46+Art!N46+Music!N46+Vocal!N46+Band!N46+'Elem Strings'!N46+'Grants Donations'!N46</f>
        <v>0</v>
      </c>
      <c r="O46" s="8">
        <f>+'Strings non Elem'!P46+Art!O46+Music!O46+Vocal!O46+Band!O46+'Elem Strings'!O46+'Grants Donations'!O46</f>
        <v>0</v>
      </c>
      <c r="P46" s="8">
        <f>+'Strings non Elem'!Q46+Art!P46+Music!P46+Vocal!P46+Band!P46+'Elem Strings'!P46+'Grants Donations'!P46</f>
        <v>0</v>
      </c>
      <c r="Q46" s="8">
        <f>+'Strings non Elem'!R46+Art!Q46+Music!Q46+Vocal!Q46+Band!Q46+'Elem Strings'!Q46+'Grants Donations'!Q46</f>
        <v>0</v>
      </c>
      <c r="R46" s="6"/>
      <c r="S46" s="6"/>
      <c r="T46" s="6"/>
      <c r="U46" s="6"/>
      <c r="V46" s="6"/>
      <c r="W46" s="6"/>
      <c r="X46" s="6"/>
      <c r="Y46" s="6"/>
    </row>
    <row r="47" spans="1:25" s="1" customFormat="1" ht="12.75">
      <c r="A47" s="1" t="s">
        <v>18</v>
      </c>
      <c r="B47" s="8">
        <f>+'Strings non Elem'!C47+Art!B47+Music!B47+Vocal!B47+Band!B47+'Elem Strings'!B47+'Grants Donations'!B47</f>
        <v>0</v>
      </c>
      <c r="C47" s="8">
        <f>+'Strings non Elem'!D47+Art!C47+Music!C47+Vocal!C47+Band!C47+'Elem Strings'!C47+'Grants Donations'!C47</f>
        <v>0</v>
      </c>
      <c r="D47" s="8">
        <f>+'Strings non Elem'!E47+Art!D47+Music!D47+Vocal!D47+Band!D47+'Elem Strings'!D47+'Grants Donations'!D47</f>
        <v>0</v>
      </c>
      <c r="E47" s="8">
        <f>+'Strings non Elem'!F47+Art!E47+Music!E47+Vocal!E47+Band!E47+'Elem Strings'!E47+'Grants Donations'!E47</f>
        <v>0</v>
      </c>
      <c r="F47" s="8">
        <f>+'Strings non Elem'!G47+Art!F47+Music!F47+Vocal!F47+Band!F47+'Elem Strings'!F47+'Grants Donations'!F47</f>
        <v>0</v>
      </c>
      <c r="G47" s="8">
        <f>+'Strings non Elem'!H47+Art!G47+Music!G47+Vocal!G47+Band!G47+'Elem Strings'!G47+'Grants Donations'!G47</f>
        <v>0</v>
      </c>
      <c r="H47" s="8">
        <f>+'Strings non Elem'!I47+Art!H47+Music!H47+Vocal!H47+Band!H47+'Elem Strings'!H47+'Grants Donations'!H47</f>
        <v>0</v>
      </c>
      <c r="I47" s="8">
        <f>+'Strings non Elem'!J47+Art!I47+Music!I47+Vocal!I47+Band!I47+'Elem Strings'!I47+'Grants Donations'!I47</f>
        <v>0</v>
      </c>
      <c r="J47" s="8">
        <f>+'Strings non Elem'!K47+Art!J47+Music!J47+Vocal!J47+Band!J47+'Elem Strings'!J47+'Grants Donations'!J47</f>
        <v>0</v>
      </c>
      <c r="K47" s="8">
        <f>+'Strings non Elem'!L47+Art!K47+Music!K47+Vocal!K47+Band!K47+'Elem Strings'!K47+'Grants Donations'!K47</f>
        <v>0</v>
      </c>
      <c r="L47" s="8">
        <f>+'Strings non Elem'!M47+Art!L47+Music!L47+Vocal!L47+Band!L47+'Elem Strings'!L47+'Grants Donations'!L47</f>
        <v>0</v>
      </c>
      <c r="M47" s="8">
        <f>+'Strings non Elem'!N47+Art!M47+Music!M47+Vocal!M47+Band!M47+'Elem Strings'!M47+'Grants Donations'!M47</f>
        <v>50000</v>
      </c>
      <c r="N47" s="8">
        <f>+'Strings non Elem'!O47+Art!N47+Music!N47+Vocal!N47+Band!N47+'Elem Strings'!N47+'Grants Donations'!N47</f>
        <v>0</v>
      </c>
      <c r="O47" s="8">
        <f>+'Strings non Elem'!P47+Art!O47+Music!O47+Vocal!O47+Band!O47+'Elem Strings'!O47+'Grants Donations'!O47</f>
        <v>0</v>
      </c>
      <c r="P47" s="8">
        <f>+'Strings non Elem'!Q47+Art!P47+Music!P47+Vocal!P47+Band!P47+'Elem Strings'!P47+'Grants Donations'!P47</f>
        <v>0</v>
      </c>
      <c r="Q47" s="8">
        <f>+'Strings non Elem'!R47+Art!Q47+Music!Q47+Vocal!Q47+Band!Q47+'Elem Strings'!Q47+'Grants Donations'!Q47</f>
        <v>0</v>
      </c>
      <c r="R47" s="6"/>
      <c r="S47" s="6"/>
      <c r="T47" s="6"/>
      <c r="U47" s="6"/>
      <c r="V47" s="6"/>
      <c r="W47" s="6"/>
      <c r="X47" s="6"/>
      <c r="Y47" s="6"/>
    </row>
    <row r="48" spans="2:25" ht="12.75">
      <c r="B48" s="8">
        <f>+'Strings non Elem'!C48+Art!B48+Music!B48+Vocal!B48+Band!B48+'Elem Strings'!B48+'Grants Donations'!B48</f>
        <v>0</v>
      </c>
      <c r="C48" s="8">
        <f>+'Strings non Elem'!D48+Art!C48+Music!C48+Vocal!C48+Band!C48+'Elem Strings'!C48+'Grants Donations'!C48</f>
        <v>0</v>
      </c>
      <c r="D48" s="8">
        <f>+'Strings non Elem'!E48+Art!D48+Music!D48+Vocal!D48+Band!D48+'Elem Strings'!D48+'Grants Donations'!D48</f>
        <v>0</v>
      </c>
      <c r="E48" s="8">
        <f>+'Strings non Elem'!F48+Art!E48+Music!E48+Vocal!E48+Band!E48+'Elem Strings'!E48+'Grants Donations'!E48</f>
        <v>0</v>
      </c>
      <c r="F48" s="8">
        <f>+'Strings non Elem'!G48+Art!F48+Music!F48+Vocal!F48+Band!F48+'Elem Strings'!F48+'Grants Donations'!F48</f>
        <v>0</v>
      </c>
      <c r="G48" s="8">
        <f>+'Strings non Elem'!H48+Art!G48+Music!G48+Vocal!G48+Band!G48+'Elem Strings'!G48+'Grants Donations'!G48</f>
        <v>0</v>
      </c>
      <c r="H48" s="8">
        <f>+'Strings non Elem'!I48+Art!H48+Music!H48+Vocal!H48+Band!H48+'Elem Strings'!H48+'Grants Donations'!H48</f>
        <v>0</v>
      </c>
      <c r="I48" s="8">
        <f>+'Strings non Elem'!J48+Art!I48+Music!I48+Vocal!I48+Band!I48+'Elem Strings'!I48+'Grants Donations'!I48</f>
        <v>0</v>
      </c>
      <c r="J48" s="8">
        <f>+'Strings non Elem'!K48+Art!J48+Music!J48+Vocal!J48+Band!J48+'Elem Strings'!J48+'Grants Donations'!J48</f>
        <v>0</v>
      </c>
      <c r="K48" s="8">
        <f>+'Strings non Elem'!L48+Art!K48+Music!K48+Vocal!K48+Band!K48+'Elem Strings'!K48+'Grants Donations'!K48</f>
        <v>0</v>
      </c>
      <c r="L48" s="8">
        <f>+'Strings non Elem'!M48+Art!L48+Music!L48+Vocal!L48+Band!L48+'Elem Strings'!L48+'Grants Donations'!L48</f>
        <v>0</v>
      </c>
      <c r="M48" s="8">
        <f>+'Strings non Elem'!N48+Art!M48+Music!M48+Vocal!M48+Band!M48+'Elem Strings'!M48+'Grants Donations'!M48</f>
        <v>0</v>
      </c>
      <c r="N48" s="8">
        <f>+'Strings non Elem'!O48+Art!N48+Music!N48+Vocal!N48+Band!N48+'Elem Strings'!N48+'Grants Donations'!N48</f>
        <v>0</v>
      </c>
      <c r="O48" s="8">
        <f>+'Strings non Elem'!P48+Art!O48+Music!O48+Vocal!O48+Band!O48+'Elem Strings'!O48+'Grants Donations'!O48</f>
        <v>0</v>
      </c>
      <c r="P48" s="8">
        <f>+'Strings non Elem'!Q48+Art!P48+Music!P48+Vocal!P48+Band!P48+'Elem Strings'!P48+'Grants Donations'!P48</f>
        <v>0</v>
      </c>
      <c r="Q48" s="8">
        <f>+'Strings non Elem'!R48+Art!Q48+Music!Q48+Vocal!Q48+Band!Q48+'Elem Strings'!Q48+'Grants Donations'!Q48</f>
        <v>0</v>
      </c>
      <c r="R48" s="6"/>
      <c r="S48" s="6"/>
      <c r="T48" s="6"/>
      <c r="U48" s="6"/>
      <c r="V48" s="6"/>
      <c r="W48" s="6"/>
      <c r="X48" s="6"/>
      <c r="Y48" s="6"/>
    </row>
    <row r="49" spans="1:17" s="2" customFormat="1" ht="12.75">
      <c r="A49" s="2" t="s">
        <v>60</v>
      </c>
      <c r="B49" s="5">
        <f aca="true" t="shared" si="1" ref="B49:O49">SUM(B32:B48)</f>
        <v>0</v>
      </c>
      <c r="C49" s="5">
        <f t="shared" si="1"/>
        <v>5320864.12</v>
      </c>
      <c r="D49" s="5">
        <f t="shared" si="1"/>
        <v>8218496.4799999995</v>
      </c>
      <c r="E49" s="5">
        <f t="shared" si="1"/>
        <v>0</v>
      </c>
      <c r="F49" s="5">
        <f t="shared" si="1"/>
        <v>10040072.02</v>
      </c>
      <c r="G49" s="5">
        <f>SUM(G32:G48)</f>
        <v>8934327.03</v>
      </c>
      <c r="H49" s="5">
        <f t="shared" si="1"/>
        <v>0</v>
      </c>
      <c r="I49" s="5">
        <f t="shared" si="1"/>
        <v>9288828</v>
      </c>
      <c r="J49" s="5">
        <f t="shared" si="1"/>
        <v>8875452.94</v>
      </c>
      <c r="K49" s="5">
        <f t="shared" si="1"/>
        <v>0</v>
      </c>
      <c r="L49" s="5">
        <f t="shared" si="1"/>
        <v>9002693.8</v>
      </c>
      <c r="M49" s="5">
        <f t="shared" si="1"/>
        <v>8956786.660000002</v>
      </c>
      <c r="N49" s="5">
        <f t="shared" si="1"/>
        <v>0</v>
      </c>
      <c r="O49" s="5">
        <f t="shared" si="1"/>
        <v>8948294.979999999</v>
      </c>
      <c r="P49" s="5">
        <f>SUM(P32:P48)</f>
        <v>0</v>
      </c>
      <c r="Q49" s="5">
        <f>SUM(Q32:Q48)</f>
        <v>8905800.1</v>
      </c>
    </row>
    <row r="51" spans="1:17" s="12" customFormat="1" ht="13.5" thickBot="1">
      <c r="A51" s="12" t="s">
        <v>74</v>
      </c>
      <c r="B51" s="13">
        <f aca="true" t="shared" si="2" ref="B51:O51">+B30-B49</f>
        <v>121.3</v>
      </c>
      <c r="C51" s="13">
        <f t="shared" si="2"/>
        <v>0</v>
      </c>
      <c r="D51" s="13">
        <f t="shared" si="2"/>
        <v>77383.20000000019</v>
      </c>
      <c r="E51" s="13">
        <f t="shared" si="2"/>
        <v>126.82</v>
      </c>
      <c r="F51" s="13">
        <f t="shared" si="2"/>
        <v>0</v>
      </c>
      <c r="G51" s="13">
        <f t="shared" si="2"/>
        <v>0</v>
      </c>
      <c r="H51" s="13">
        <f t="shared" si="2"/>
        <v>119.47</v>
      </c>
      <c r="I51" s="13">
        <f t="shared" si="2"/>
        <v>0</v>
      </c>
      <c r="J51" s="13">
        <f t="shared" si="2"/>
        <v>0</v>
      </c>
      <c r="K51" s="13">
        <f t="shared" si="2"/>
        <v>108.32000000000001</v>
      </c>
      <c r="L51" s="13">
        <f t="shared" si="2"/>
        <v>0</v>
      </c>
      <c r="M51" s="13">
        <f t="shared" si="2"/>
        <v>0</v>
      </c>
      <c r="N51" s="13">
        <f>+N30-N49</f>
        <v>110.28000000000003</v>
      </c>
      <c r="O51" s="13">
        <f t="shared" si="2"/>
        <v>0</v>
      </c>
      <c r="P51" s="13">
        <f>+P30-P49</f>
        <v>111.39000000000001</v>
      </c>
      <c r="Q51" s="13">
        <f>+Q30-Q49</f>
        <v>0</v>
      </c>
    </row>
    <row r="54" spans="1:17" ht="12.75">
      <c r="A54" t="s">
        <v>97</v>
      </c>
      <c r="Q54" s="14"/>
    </row>
    <row r="55" ht="12.75">
      <c r="A55" t="s">
        <v>96</v>
      </c>
    </row>
    <row r="56" ht="12.75">
      <c r="A56" t="s">
        <v>69</v>
      </c>
    </row>
    <row r="57" spans="1:7" ht="12.75">
      <c r="A57" t="s">
        <v>5</v>
      </c>
      <c r="G57" s="14"/>
    </row>
    <row r="58" ht="12.75">
      <c r="A58" t="s">
        <v>6</v>
      </c>
    </row>
    <row r="59" ht="12.75">
      <c r="A59" t="s">
        <v>76</v>
      </c>
    </row>
  </sheetData>
  <printOptions horizontalCentered="1"/>
  <pageMargins left="0.25" right="0.25" top="1" bottom="1" header="0.5" footer="0.5"/>
  <pageSetup fitToHeight="1" fitToWidth="1" orientation="landscape" paperSize="5" scale="40"/>
  <headerFooter alignWithMargins="0">
    <oddHeader>&amp;C&amp;"Times New Roman,Bold"&amp;16Appendix E:  Madison Metropolitan School District
Fine Arts Financial Analysis</oddHeader>
    <oddFooter>&amp;L&amp;"Times New Roman,Regular"&amp;Z&amp;F&amp;F&amp;A
&amp;R&amp;"Times New Roman,Regular"Appendix E,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2" topLeftCell="N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8" sqref="R38"/>
    </sheetView>
  </sheetViews>
  <sheetFormatPr defaultColWidth="11.00390625" defaultRowHeight="12.75"/>
  <cols>
    <col min="1" max="1" width="36.625" style="0" customWidth="1"/>
    <col min="2" max="2" width="12.00390625" style="0" bestFit="1" customWidth="1"/>
    <col min="3" max="3" width="9.125" style="0" customWidth="1"/>
    <col min="4" max="4" width="13.75390625" style="0" bestFit="1" customWidth="1"/>
    <col min="5" max="5" width="13.75390625" style="0" customWidth="1"/>
    <col min="6" max="6" width="8.75390625" style="0" customWidth="1"/>
    <col min="7" max="8" width="13.75390625" style="0" bestFit="1" customWidth="1"/>
    <col min="9" max="9" width="9.375" style="0" customWidth="1"/>
    <col min="10" max="10" width="13.25390625" style="0" bestFit="1" customWidth="1"/>
    <col min="11" max="11" width="13.375" style="0" bestFit="1" customWidth="1"/>
    <col min="12" max="12" width="8.875" style="0" customWidth="1"/>
    <col min="13" max="13" width="14.125" style="0" customWidth="1"/>
    <col min="14" max="14" width="13.375" style="0" bestFit="1" customWidth="1"/>
    <col min="15" max="15" width="13.375" style="0" customWidth="1"/>
    <col min="16" max="16" width="13.375" style="0" bestFit="1" customWidth="1"/>
    <col min="17" max="17" width="13.375" style="0" customWidth="1"/>
    <col min="18" max="18" width="13.375" style="0" bestFit="1" customWidth="1"/>
  </cols>
  <sheetData>
    <row r="1" spans="2:18" s="3" customFormat="1" ht="12.75">
      <c r="B1" s="3" t="s">
        <v>29</v>
      </c>
      <c r="C1" s="3" t="s">
        <v>32</v>
      </c>
      <c r="D1" s="3" t="s">
        <v>32</v>
      </c>
      <c r="E1" s="3" t="s">
        <v>32</v>
      </c>
      <c r="F1" s="3" t="s">
        <v>33</v>
      </c>
      <c r="G1" s="3" t="s">
        <v>33</v>
      </c>
      <c r="H1" s="3" t="s">
        <v>33</v>
      </c>
      <c r="I1" s="3" t="s">
        <v>34</v>
      </c>
      <c r="J1" s="3" t="s">
        <v>34</v>
      </c>
      <c r="K1" s="3" t="s">
        <v>34</v>
      </c>
      <c r="L1" s="3" t="s">
        <v>35</v>
      </c>
      <c r="M1" s="3" t="s">
        <v>35</v>
      </c>
      <c r="N1" s="3" t="s">
        <v>35</v>
      </c>
      <c r="O1" s="3" t="s">
        <v>36</v>
      </c>
      <c r="P1" s="3" t="s">
        <v>36</v>
      </c>
      <c r="Q1" s="3" t="s">
        <v>70</v>
      </c>
      <c r="R1" s="3" t="s">
        <v>70</v>
      </c>
    </row>
    <row r="2" spans="1:18" s="3" customFormat="1" ht="12.75">
      <c r="A2" s="3" t="s">
        <v>44</v>
      </c>
      <c r="B2" s="4" t="s">
        <v>30</v>
      </c>
      <c r="C2" s="4" t="s">
        <v>4</v>
      </c>
      <c r="D2" s="4" t="s">
        <v>30</v>
      </c>
      <c r="E2" s="4" t="s">
        <v>31</v>
      </c>
      <c r="F2" s="4" t="s">
        <v>4</v>
      </c>
      <c r="G2" s="4" t="s">
        <v>30</v>
      </c>
      <c r="H2" s="4" t="s">
        <v>31</v>
      </c>
      <c r="I2" s="4" t="s">
        <v>4</v>
      </c>
      <c r="J2" s="4" t="s">
        <v>30</v>
      </c>
      <c r="K2" s="4" t="s">
        <v>31</v>
      </c>
      <c r="L2" s="4" t="s">
        <v>4</v>
      </c>
      <c r="M2" s="4" t="s">
        <v>30</v>
      </c>
      <c r="N2" s="4" t="s">
        <v>31</v>
      </c>
      <c r="O2" s="4" t="s">
        <v>4</v>
      </c>
      <c r="P2" s="4" t="s">
        <v>30</v>
      </c>
      <c r="Q2" s="4" t="s">
        <v>4</v>
      </c>
      <c r="R2" s="4" t="s">
        <v>30</v>
      </c>
    </row>
    <row r="3" spans="1:18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t="s">
        <v>37</v>
      </c>
      <c r="B6" s="6"/>
      <c r="C6" s="6">
        <v>4.7</v>
      </c>
      <c r="D6" s="6">
        <f>+C6*64486</f>
        <v>303084.2</v>
      </c>
      <c r="E6" s="6">
        <f>+C6*64486</f>
        <v>303084.2</v>
      </c>
      <c r="F6" s="6">
        <f>4.9+0.07</f>
        <v>4.970000000000001</v>
      </c>
      <c r="G6" s="6">
        <f>343151+148486+3516.5</f>
        <v>495153.5</v>
      </c>
      <c r="H6" s="6">
        <f>261138+210519</f>
        <v>471657</v>
      </c>
      <c r="I6" s="6">
        <f>5+0.17</f>
        <v>5.17</v>
      </c>
      <c r="J6" s="6">
        <f>275560+218136+6830.5</f>
        <v>500526.5</v>
      </c>
      <c r="K6" s="6">
        <f>227783+232067+5062.17</f>
        <v>464912.17</v>
      </c>
      <c r="L6" s="6">
        <f>4.4+0.17</f>
        <v>4.57</v>
      </c>
      <c r="M6" s="6">
        <f>220148+158493+5681.47</f>
        <v>384322.47</v>
      </c>
      <c r="N6" s="6">
        <f>218229+161096+5170</f>
        <v>384495</v>
      </c>
      <c r="O6" s="6">
        <f>4.4+3.1+0.17</f>
        <v>7.67</v>
      </c>
      <c r="P6" s="6">
        <f>227306+163571+6131.83</f>
        <v>397008.83</v>
      </c>
      <c r="Q6" s="6">
        <f>4.62+3.45+0.17</f>
        <v>8.24</v>
      </c>
      <c r="R6" s="6">
        <f>248253+190293+6442.15</f>
        <v>444988.15</v>
      </c>
    </row>
    <row r="7" spans="1:18" ht="12.75">
      <c r="A7" t="s">
        <v>38</v>
      </c>
      <c r="B7" s="6"/>
      <c r="C7" s="6"/>
      <c r="D7" s="6"/>
      <c r="E7" s="6"/>
      <c r="F7" s="6"/>
      <c r="G7" s="6">
        <f>57441+57068+3989.67</f>
        <v>118498.67</v>
      </c>
      <c r="H7" s="6">
        <f>114260+68436</f>
        <v>182696</v>
      </c>
      <c r="I7" s="6"/>
      <c r="J7" s="6">
        <f>129834+66878+2465.5</f>
        <v>199177.5</v>
      </c>
      <c r="K7" s="6">
        <f>125720+84684+2021</f>
        <v>212425</v>
      </c>
      <c r="L7" s="6"/>
      <c r="M7" s="6">
        <f>132231+71232+2172.83</f>
        <v>205635.83</v>
      </c>
      <c r="N7" s="6">
        <f>102973+59536+1834.67</f>
        <v>164343.67</v>
      </c>
      <c r="O7" s="6"/>
      <c r="P7" s="6">
        <f>110170+62494+2188.5</f>
        <v>174852.5</v>
      </c>
      <c r="Q7" s="6"/>
      <c r="R7" s="6">
        <f>15045+15045+18991+476+61060+3367+2411+11531+11531+14557+513+30192+1462+1848+2407.2</f>
        <v>190436.2</v>
      </c>
    </row>
    <row r="8" spans="2:18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1" customFormat="1" ht="12.75">
      <c r="A10" s="1" t="s">
        <v>28</v>
      </c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6"/>
      <c r="N10" s="7"/>
      <c r="O10" s="7"/>
      <c r="P10" s="7"/>
      <c r="Q10" s="7"/>
      <c r="R10" s="7"/>
    </row>
    <row r="11" spans="1:18" s="1" customFormat="1" ht="12.75">
      <c r="A11" s="1" t="s">
        <v>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1" customFormat="1" ht="12.75">
      <c r="A12" s="1" t="s">
        <v>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1" customFormat="1" ht="12.75">
      <c r="A13" s="1" t="s">
        <v>40</v>
      </c>
      <c r="B13" s="6">
        <f>800+400+200</f>
        <v>1400</v>
      </c>
      <c r="C13" s="6"/>
      <c r="D13" s="6">
        <f>1040+624</f>
        <v>1664</v>
      </c>
      <c r="E13" s="6">
        <v>415</v>
      </c>
      <c r="F13" s="6"/>
      <c r="G13" s="6">
        <v>350</v>
      </c>
      <c r="H13" s="6">
        <f>500+371</f>
        <v>871</v>
      </c>
      <c r="I13" s="6"/>
      <c r="J13" s="6">
        <v>350</v>
      </c>
      <c r="K13" s="6">
        <f>450+120</f>
        <v>570</v>
      </c>
      <c r="L13" s="6"/>
      <c r="M13" s="6">
        <v>364</v>
      </c>
      <c r="N13" s="6">
        <f>75+175</f>
        <v>250</v>
      </c>
      <c r="O13" s="6"/>
      <c r="P13" s="6">
        <v>369</v>
      </c>
      <c r="Q13" s="6"/>
      <c r="R13" s="6">
        <v>379</v>
      </c>
    </row>
    <row r="14" spans="1:18" s="1" customFormat="1" ht="12.75">
      <c r="A14" s="1" t="s">
        <v>39</v>
      </c>
      <c r="B14" s="6">
        <v>9570</v>
      </c>
      <c r="C14" s="6"/>
      <c r="D14" s="6">
        <v>9568</v>
      </c>
      <c r="E14" s="6">
        <f>5813+3550</f>
        <v>9363</v>
      </c>
      <c r="F14" s="6"/>
      <c r="G14" s="6">
        <f>6500+4100</f>
        <v>10600</v>
      </c>
      <c r="H14" s="6">
        <f>3289+3426</f>
        <v>6715</v>
      </c>
      <c r="I14" s="6"/>
      <c r="J14" s="6">
        <f>5100+3872</f>
        <v>8972</v>
      </c>
      <c r="K14" s="6">
        <f>3168+3904</f>
        <v>7072</v>
      </c>
      <c r="L14" s="6"/>
      <c r="M14" s="6">
        <f>5310+4032</f>
        <v>9342</v>
      </c>
      <c r="N14" s="6">
        <f>4850+4382</f>
        <v>9232</v>
      </c>
      <c r="O14" s="6"/>
      <c r="P14" s="6">
        <f>5380+4084</f>
        <v>9464</v>
      </c>
      <c r="Q14" s="6"/>
      <c r="R14" s="7">
        <f>5532+4198</f>
        <v>9730</v>
      </c>
    </row>
    <row r="15" spans="1:18" s="1" customFormat="1" ht="12.75">
      <c r="A15" s="1" t="s">
        <v>41</v>
      </c>
      <c r="B15" s="6">
        <v>11858</v>
      </c>
      <c r="C15" s="6"/>
      <c r="D15" s="6">
        <v>12275.12</v>
      </c>
      <c r="E15" s="6">
        <f>5428+7748</f>
        <v>13176</v>
      </c>
      <c r="F15" s="6"/>
      <c r="G15" s="6">
        <f>5925+6978</f>
        <v>12903</v>
      </c>
      <c r="H15" s="6">
        <f>6144+6163</f>
        <v>12307</v>
      </c>
      <c r="I15" s="6"/>
      <c r="J15" s="6">
        <f>6900+7130</f>
        <v>14030</v>
      </c>
      <c r="K15" s="6">
        <f>3033+6223</f>
        <v>9256</v>
      </c>
      <c r="L15" s="6"/>
      <c r="M15" s="6">
        <f>7428+7344</f>
        <v>14772</v>
      </c>
      <c r="N15" s="6">
        <f>4598+7747</f>
        <v>12345</v>
      </c>
      <c r="O15" s="6"/>
      <c r="P15" s="6">
        <f>6223+8086</f>
        <v>14309</v>
      </c>
      <c r="Q15" s="6"/>
      <c r="R15" s="7">
        <f>6400+7444+868</f>
        <v>14712</v>
      </c>
    </row>
    <row r="16" spans="1:18" s="1" customFormat="1" ht="12.75">
      <c r="A16" s="1" t="s">
        <v>42</v>
      </c>
      <c r="B16" s="6">
        <v>1170</v>
      </c>
      <c r="C16" s="6"/>
      <c r="D16" s="6">
        <v>1716</v>
      </c>
      <c r="E16" s="6">
        <f>450+69+1083</f>
        <v>1602</v>
      </c>
      <c r="F16" s="6"/>
      <c r="G16" s="6">
        <v>1320</v>
      </c>
      <c r="H16" s="6">
        <v>420</v>
      </c>
      <c r="I16" s="6"/>
      <c r="J16" s="6">
        <f>400+70+800+50</f>
        <v>1320</v>
      </c>
      <c r="K16" s="6">
        <v>1006</v>
      </c>
      <c r="L16" s="6"/>
      <c r="M16" s="6">
        <v>1374</v>
      </c>
      <c r="N16" s="6"/>
      <c r="O16" s="6"/>
      <c r="P16" s="6">
        <v>1223</v>
      </c>
      <c r="Q16" s="6"/>
      <c r="R16" s="6">
        <f>433+76+694+54</f>
        <v>1257</v>
      </c>
    </row>
    <row r="17" spans="1:18" s="1" customFormat="1" ht="12.75">
      <c r="A17" s="1" t="s">
        <v>43</v>
      </c>
      <c r="B17" s="6">
        <v>220</v>
      </c>
      <c r="C17" s="6"/>
      <c r="D17" s="6">
        <v>124.8</v>
      </c>
      <c r="E17" s="6">
        <v>148</v>
      </c>
      <c r="F17" s="6"/>
      <c r="G17" s="6">
        <v>150</v>
      </c>
      <c r="H17" s="6">
        <v>154</v>
      </c>
      <c r="I17" s="6"/>
      <c r="J17" s="6">
        <v>150</v>
      </c>
      <c r="K17" s="6">
        <v>158</v>
      </c>
      <c r="L17" s="6"/>
      <c r="M17" s="6">
        <v>156</v>
      </c>
      <c r="N17" s="6">
        <v>163</v>
      </c>
      <c r="O17" s="6"/>
      <c r="P17" s="6"/>
      <c r="Q17" s="6"/>
      <c r="R17" s="6"/>
    </row>
    <row r="18" spans="1:18" s="1" customFormat="1" ht="12.75">
      <c r="A18" s="1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1" customFormat="1" ht="12.75">
      <c r="A19" s="1" t="s">
        <v>50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1" customFormat="1" ht="12.75">
      <c r="A20" s="1" t="s">
        <v>51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1" customFormat="1" ht="12.75">
      <c r="A21" s="1" t="s">
        <v>67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1" customFormat="1" ht="12.75">
      <c r="A22" s="1" t="s">
        <v>52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1" customFormat="1" ht="12.75">
      <c r="A23" s="1" t="s">
        <v>53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2:18" s="1" customFormat="1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t="s">
        <v>2</v>
      </c>
      <c r="B25" s="6">
        <v>9479</v>
      </c>
      <c r="C25" s="6"/>
      <c r="D25" s="6">
        <v>9108</v>
      </c>
      <c r="E25" s="6">
        <v>7878.28</v>
      </c>
      <c r="F25" s="6"/>
      <c r="G25" s="6">
        <v>8275</v>
      </c>
      <c r="H25" s="6">
        <v>5739</v>
      </c>
      <c r="I25" s="6"/>
      <c r="J25" s="6">
        <v>7925</v>
      </c>
      <c r="K25" s="6">
        <v>7517</v>
      </c>
      <c r="L25" s="6"/>
      <c r="M25" s="6">
        <v>8250</v>
      </c>
      <c r="N25" s="6">
        <v>7400</v>
      </c>
      <c r="O25" s="6"/>
      <c r="P25" s="6">
        <v>8356</v>
      </c>
      <c r="Q25" s="6"/>
      <c r="R25" s="6">
        <v>8589</v>
      </c>
    </row>
    <row r="26" spans="1:18" ht="12.75">
      <c r="A26" t="s">
        <v>3</v>
      </c>
      <c r="B26" s="6">
        <v>38591</v>
      </c>
      <c r="C26" s="6"/>
      <c r="D26" s="6">
        <v>33595.22</v>
      </c>
      <c r="E26" s="6">
        <v>41533.77</v>
      </c>
      <c r="F26" s="6"/>
      <c r="G26" s="6">
        <v>17625</v>
      </c>
      <c r="H26" s="6">
        <f>38092+595</f>
        <v>38687</v>
      </c>
      <c r="I26" s="6"/>
      <c r="J26" s="6">
        <v>16990</v>
      </c>
      <c r="K26" s="6">
        <v>18390</v>
      </c>
      <c r="L26" s="6"/>
      <c r="M26" s="6">
        <v>17686</v>
      </c>
      <c r="N26" s="6">
        <v>21353</v>
      </c>
      <c r="O26" s="6"/>
      <c r="P26" s="6">
        <v>12586</v>
      </c>
      <c r="Q26" s="6"/>
      <c r="R26" s="6">
        <v>17595</v>
      </c>
    </row>
    <row r="27" spans="2:18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2" t="s">
        <v>59</v>
      </c>
      <c r="B30" s="5">
        <f>SUM(B3:B29)</f>
        <v>72288</v>
      </c>
      <c r="C30" s="5">
        <f aca="true" t="shared" si="0" ref="C30:P30">SUM(C3:C29)</f>
        <v>4.7</v>
      </c>
      <c r="D30" s="5">
        <f t="shared" si="0"/>
        <v>371135.33999999997</v>
      </c>
      <c r="E30" s="5">
        <f t="shared" si="0"/>
        <v>377200.25000000006</v>
      </c>
      <c r="F30" s="5">
        <f t="shared" si="0"/>
        <v>4.970000000000001</v>
      </c>
      <c r="G30" s="5">
        <f t="shared" si="0"/>
        <v>664875.17</v>
      </c>
      <c r="H30" s="5">
        <f t="shared" si="0"/>
        <v>719246</v>
      </c>
      <c r="I30" s="5">
        <f t="shared" si="0"/>
        <v>5.17</v>
      </c>
      <c r="J30" s="5">
        <f t="shared" si="0"/>
        <v>749441</v>
      </c>
      <c r="K30" s="5">
        <f t="shared" si="0"/>
        <v>721306.1699999999</v>
      </c>
      <c r="L30" s="5">
        <f t="shared" si="0"/>
        <v>4.57</v>
      </c>
      <c r="M30" s="5">
        <f t="shared" si="0"/>
        <v>641902.2999999999</v>
      </c>
      <c r="N30" s="5">
        <f t="shared" si="0"/>
        <v>599581.67</v>
      </c>
      <c r="O30" s="5">
        <f t="shared" si="0"/>
        <v>7.67</v>
      </c>
      <c r="P30" s="5">
        <f t="shared" si="0"/>
        <v>618168.3300000001</v>
      </c>
      <c r="Q30" s="5">
        <f>SUM(Q3:Q29)</f>
        <v>8.24</v>
      </c>
      <c r="R30" s="5">
        <f>SUM(R3:R29)</f>
        <v>687686.3500000001</v>
      </c>
    </row>
    <row r="31" spans="2:18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21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t="s">
        <v>57</v>
      </c>
      <c r="B35" s="6"/>
      <c r="C35" s="6"/>
      <c r="D35" s="6">
        <v>77358.55</v>
      </c>
      <c r="E35" s="6">
        <v>80782.95</v>
      </c>
      <c r="F35" s="6"/>
      <c r="G35" s="6">
        <v>133872.76</v>
      </c>
      <c r="H35" s="6">
        <v>148940.46</v>
      </c>
      <c r="I35" s="6"/>
      <c r="J35" s="6">
        <v>172004.92</v>
      </c>
      <c r="K35" s="6">
        <v>170673.06</v>
      </c>
      <c r="L35" s="6"/>
      <c r="M35" s="6">
        <v>136689.26</v>
      </c>
      <c r="N35" s="6">
        <v>131555.92</v>
      </c>
      <c r="O35" s="6"/>
      <c r="P35" s="6">
        <v>127691.92</v>
      </c>
      <c r="Q35" s="6"/>
      <c r="R35" s="6">
        <v>150684.21</v>
      </c>
    </row>
    <row r="36" spans="1:18" ht="12.75">
      <c r="A36" t="s">
        <v>58</v>
      </c>
      <c r="B36" s="6"/>
      <c r="C36" s="6"/>
      <c r="D36" s="6">
        <v>262392.91</v>
      </c>
      <c r="E36" s="6">
        <v>273907.74</v>
      </c>
      <c r="F36" s="6"/>
      <c r="G36" s="6">
        <v>481896.14</v>
      </c>
      <c r="H36" s="6">
        <v>535821.25</v>
      </c>
      <c r="I36" s="6"/>
      <c r="J36" s="6">
        <v>524080.01</v>
      </c>
      <c r="K36" s="6">
        <v>519751.38</v>
      </c>
      <c r="L36" s="6"/>
      <c r="M36" s="6">
        <v>452806.52</v>
      </c>
      <c r="N36" s="6">
        <v>436466.85</v>
      </c>
      <c r="O36" s="6"/>
      <c r="P36" s="6">
        <v>437630.12</v>
      </c>
      <c r="Q36" s="6"/>
      <c r="R36" s="6">
        <v>487779.33</v>
      </c>
    </row>
    <row r="37" spans="1:18" ht="12.75">
      <c r="A37" t="s">
        <v>7</v>
      </c>
      <c r="B37" s="6"/>
      <c r="C37" s="6"/>
      <c r="D37" s="6">
        <v>5986.88</v>
      </c>
      <c r="E37" s="6">
        <v>6001.56</v>
      </c>
      <c r="F37" s="6"/>
      <c r="G37" s="6">
        <v>11606.27</v>
      </c>
      <c r="H37" s="6">
        <v>21630.29</v>
      </c>
      <c r="I37" s="6"/>
      <c r="J37" s="6">
        <v>15856.07</v>
      </c>
      <c r="K37" s="6">
        <v>18038.73</v>
      </c>
      <c r="L37" s="6"/>
      <c r="M37" s="6">
        <v>14896.52</v>
      </c>
      <c r="N37" s="6">
        <v>16921.9</v>
      </c>
      <c r="O37" s="6"/>
      <c r="P37" s="6">
        <v>15336.29</v>
      </c>
      <c r="Q37" s="6"/>
      <c r="R37" s="6">
        <v>19243.81</v>
      </c>
    </row>
    <row r="38" spans="2:18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t="s">
        <v>20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t="s">
        <v>19</v>
      </c>
      <c r="B40" s="6"/>
      <c r="C40" s="6"/>
      <c r="D40" s="6">
        <v>25397</v>
      </c>
      <c r="E40" s="6">
        <v>16508</v>
      </c>
      <c r="F40" s="6"/>
      <c r="G40" s="6">
        <v>37500</v>
      </c>
      <c r="H40" s="6">
        <v>12854</v>
      </c>
      <c r="I40" s="6"/>
      <c r="J40" s="6">
        <v>37500</v>
      </c>
      <c r="K40" s="6">
        <v>12843</v>
      </c>
      <c r="L40" s="6"/>
      <c r="M40" s="6">
        <v>37510</v>
      </c>
      <c r="N40" s="6">
        <v>14637</v>
      </c>
      <c r="O40" s="6"/>
      <c r="P40" s="6">
        <v>37510</v>
      </c>
      <c r="Q40" s="6"/>
      <c r="R40" s="6">
        <f>14637+15342</f>
        <v>29979</v>
      </c>
    </row>
    <row r="41" spans="1:18" ht="12.75">
      <c r="A41" t="s">
        <v>54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1" customFormat="1" ht="12.75">
      <c r="A43" s="1" t="s">
        <v>15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1" customFormat="1" ht="12.75">
      <c r="A44" s="1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1" customFormat="1" ht="12.75">
      <c r="A45" s="1" t="s">
        <v>16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1" customFormat="1" ht="12.75">
      <c r="A47" s="1" t="s">
        <v>18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2:18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2" customFormat="1" ht="12.75">
      <c r="A49" s="2" t="s">
        <v>60</v>
      </c>
      <c r="B49" s="5">
        <f aca="true" t="shared" si="1" ref="B49:O49">SUM(B32:B48)</f>
        <v>0</v>
      </c>
      <c r="C49" s="5">
        <f t="shared" si="1"/>
        <v>0</v>
      </c>
      <c r="D49" s="5">
        <f t="shared" si="1"/>
        <v>371135.33999999997</v>
      </c>
      <c r="E49" s="5">
        <f t="shared" si="1"/>
        <v>377200.25</v>
      </c>
      <c r="F49" s="5">
        <f t="shared" si="1"/>
        <v>0</v>
      </c>
      <c r="G49" s="5">
        <f t="shared" si="1"/>
        <v>664875.17</v>
      </c>
      <c r="H49" s="5">
        <f t="shared" si="1"/>
        <v>719246</v>
      </c>
      <c r="I49" s="5">
        <f t="shared" si="1"/>
        <v>0</v>
      </c>
      <c r="J49" s="5">
        <f t="shared" si="1"/>
        <v>749441</v>
      </c>
      <c r="K49" s="5">
        <f t="shared" si="1"/>
        <v>721306.1699999999</v>
      </c>
      <c r="L49" s="5">
        <f t="shared" si="1"/>
        <v>0</v>
      </c>
      <c r="M49" s="5">
        <f t="shared" si="1"/>
        <v>641902.3</v>
      </c>
      <c r="N49" s="5">
        <f t="shared" si="1"/>
        <v>599581.67</v>
      </c>
      <c r="O49" s="5">
        <f t="shared" si="1"/>
        <v>0</v>
      </c>
      <c r="P49" s="5">
        <f>SUM(P32:P48)</f>
        <v>618168.3300000001</v>
      </c>
      <c r="Q49" s="5">
        <f>SUM(Q32:Q48)</f>
        <v>0</v>
      </c>
      <c r="R49" s="5">
        <f>SUM(R32:R48)</f>
        <v>687686.3500000001</v>
      </c>
    </row>
    <row r="51" spans="1:18" ht="13.5" thickBot="1">
      <c r="A51" s="12" t="s">
        <v>74</v>
      </c>
      <c r="B51" s="13">
        <f aca="true" t="shared" si="2" ref="B51:N51">+B30-B49</f>
        <v>72288</v>
      </c>
      <c r="C51" s="13">
        <f t="shared" si="2"/>
        <v>4.7</v>
      </c>
      <c r="D51" s="13">
        <f t="shared" si="2"/>
        <v>0</v>
      </c>
      <c r="E51" s="13">
        <f t="shared" si="2"/>
        <v>0</v>
      </c>
      <c r="F51" s="13">
        <f t="shared" si="2"/>
        <v>4.970000000000001</v>
      </c>
      <c r="G51" s="13">
        <f t="shared" si="2"/>
        <v>0</v>
      </c>
      <c r="H51" s="13">
        <f t="shared" si="2"/>
        <v>0</v>
      </c>
      <c r="I51" s="13">
        <f t="shared" si="2"/>
        <v>5.17</v>
      </c>
      <c r="J51" s="13">
        <f t="shared" si="2"/>
        <v>0</v>
      </c>
      <c r="K51" s="13">
        <f t="shared" si="2"/>
        <v>0</v>
      </c>
      <c r="L51" s="13">
        <f t="shared" si="2"/>
        <v>4.57</v>
      </c>
      <c r="M51" s="13">
        <f t="shared" si="2"/>
        <v>0</v>
      </c>
      <c r="N51" s="13">
        <f t="shared" si="2"/>
        <v>0</v>
      </c>
      <c r="O51" s="13">
        <f>+O30-O49</f>
        <v>7.67</v>
      </c>
      <c r="P51" s="13">
        <f>+P30-P49</f>
        <v>0</v>
      </c>
      <c r="Q51" s="13">
        <f>+Q30-Q49</f>
        <v>8.24</v>
      </c>
      <c r="R51" s="15">
        <f>+R30-R49</f>
        <v>0</v>
      </c>
    </row>
    <row r="54" spans="1:18" ht="12.75">
      <c r="A54" t="s">
        <v>61</v>
      </c>
      <c r="R54" s="14"/>
    </row>
    <row r="56" ht="12.75">
      <c r="A56" t="s">
        <v>71</v>
      </c>
    </row>
    <row r="57" ht="12.75">
      <c r="A57" t="s">
        <v>72</v>
      </c>
    </row>
    <row r="58" ht="12.75">
      <c r="A58" t="s">
        <v>73</v>
      </c>
    </row>
    <row r="60" ht="12.75">
      <c r="A60" t="s">
        <v>90</v>
      </c>
    </row>
    <row r="61" ht="12.75">
      <c r="A61" t="s">
        <v>11</v>
      </c>
    </row>
    <row r="62" ht="12.75">
      <c r="A62" t="s">
        <v>80</v>
      </c>
    </row>
    <row r="63" ht="12.75">
      <c r="A63" t="s">
        <v>85</v>
      </c>
    </row>
    <row r="64" ht="12.75">
      <c r="A64" t="s">
        <v>81</v>
      </c>
    </row>
    <row r="65" ht="12.75">
      <c r="A65" t="s">
        <v>88</v>
      </c>
    </row>
    <row r="66" ht="12.75">
      <c r="A66" t="s">
        <v>91</v>
      </c>
    </row>
    <row r="67" ht="12.75">
      <c r="A67" t="s">
        <v>89</v>
      </c>
    </row>
    <row r="68" ht="12.75">
      <c r="A68" t="s">
        <v>75</v>
      </c>
    </row>
    <row r="69" ht="12.75">
      <c r="A69" t="s">
        <v>96</v>
      </c>
    </row>
    <row r="70" ht="12.75">
      <c r="A70" t="s">
        <v>13</v>
      </c>
    </row>
  </sheetData>
  <printOptions horizontalCentered="1"/>
  <pageMargins left="0.25" right="0.25" top="1" bottom="1" header="0.5" footer="0.5"/>
  <pageSetup fitToHeight="1" fitToWidth="1" orientation="landscape" paperSize="5" scale="42"/>
  <headerFooter alignWithMargins="0">
    <oddHeader xml:space="preserve">&amp;C&amp;"Times New Roman,Bold"&amp;16Appendix E:  Madison Metropolitan School District
Fine Arts Financial Analysis - Strings Non Elementary </oddHeader>
    <oddFooter>&amp;L&amp;"Times New Roman,Regular"&amp;Z&amp;F&amp;F&amp;A
&amp;R&amp;"Times New Roman,Regular"Appendix E, Page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workbookViewId="0" topLeftCell="A1">
      <pane xSplit="1" ySplit="2" topLeftCell="J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8" sqref="Q38"/>
    </sheetView>
  </sheetViews>
  <sheetFormatPr defaultColWidth="11.00390625" defaultRowHeight="12.75"/>
  <cols>
    <col min="1" max="1" width="36.625" style="0" customWidth="1"/>
    <col min="2" max="2" width="10.125" style="0" customWidth="1"/>
    <col min="3" max="3" width="15.00390625" style="0" bestFit="1" customWidth="1"/>
    <col min="4" max="4" width="15.375" style="0" bestFit="1" customWidth="1"/>
    <col min="5" max="5" width="9.25390625" style="0" customWidth="1"/>
    <col min="6" max="7" width="15.00390625" style="0" bestFit="1" customWidth="1"/>
    <col min="8" max="8" width="10.75390625" style="0" customWidth="1"/>
    <col min="9" max="10" width="15.00390625" style="0" bestFit="1" customWidth="1"/>
    <col min="11" max="11" width="10.375" style="0" customWidth="1"/>
    <col min="12" max="13" width="15.00390625" style="0" bestFit="1" customWidth="1"/>
    <col min="14" max="14" width="11.125" style="0" customWidth="1"/>
    <col min="15" max="15" width="15.00390625" style="0" bestFit="1" customWidth="1"/>
    <col min="16" max="16" width="11.125" style="0" customWidth="1"/>
    <col min="17" max="17" width="17.12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46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17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t="s">
        <v>37</v>
      </c>
      <c r="B6" s="8">
        <f>23.7+13.1+17.95</f>
        <v>54.75</v>
      </c>
      <c r="C6" s="8">
        <v>1143969</v>
      </c>
      <c r="D6" s="8">
        <f>360.35+(B6*64486)</f>
        <v>3530968.85</v>
      </c>
      <c r="E6" s="8">
        <f>26.8+12.5+18+0.07</f>
        <v>57.37</v>
      </c>
      <c r="F6" s="8">
        <f>1246979+1160577+857019+2095+38203+3516.5</f>
        <v>3308389.5</v>
      </c>
      <c r="G6" s="8">
        <f>1210057+646949+930739</f>
        <v>2787745</v>
      </c>
      <c r="H6" s="8">
        <f>26.7+11.2+17.4+0.17</f>
        <v>55.47</v>
      </c>
      <c r="I6" s="8">
        <f>1220772+621822+995245+2165+6830.5</f>
        <v>2846834.5</v>
      </c>
      <c r="J6" s="8">
        <f>1208365+620380+898723+5062.17</f>
        <v>2732530.17</v>
      </c>
      <c r="K6" s="8">
        <f>12.1+16.5+27.4+0.17</f>
        <v>56.17</v>
      </c>
      <c r="L6" s="8">
        <f>1276369+638835+843088+352+5681.47</f>
        <v>2764325.47</v>
      </c>
      <c r="M6" s="10">
        <f>1225149+636728+811239+278+719+5170</f>
        <v>2679283</v>
      </c>
      <c r="N6" s="10">
        <f>11.1+23+16.3+0.17</f>
        <v>50.57000000000001</v>
      </c>
      <c r="O6" s="8">
        <f>1167289+659636+870573+1290+860+6131.83</f>
        <v>2705779.83</v>
      </c>
      <c r="P6" s="10">
        <f>23.2+11.1+16.33+0.17</f>
        <v>50.8</v>
      </c>
      <c r="Q6" s="8">
        <f>1195117+621593+802071+431+1377+6442.15</f>
        <v>2627031.15</v>
      </c>
    </row>
    <row r="7" spans="1:17" ht="12.75">
      <c r="A7" t="s">
        <v>38</v>
      </c>
      <c r="B7" s="8"/>
      <c r="C7" s="8">
        <v>462596.8</v>
      </c>
      <c r="D7" s="8">
        <f>6.53+6.53+25.37+9.37</f>
        <v>47.8</v>
      </c>
      <c r="E7" s="8"/>
      <c r="F7" s="8">
        <f>401624+271644+345081+398+8617+3989.67</f>
        <v>1031353.67</v>
      </c>
      <c r="G7" s="8">
        <f>468698+260196+379422</f>
        <v>1108316</v>
      </c>
      <c r="H7" s="8"/>
      <c r="I7" s="8">
        <f>487461+258147+455481+422+2465.5</f>
        <v>1203976.5</v>
      </c>
      <c r="J7" s="8">
        <f>488080+249687+414098+2021</f>
        <v>1153886</v>
      </c>
      <c r="K7" s="8"/>
      <c r="L7" s="8">
        <f>510383+273016+415349+420+420+530+2172.83</f>
        <v>1202290.83</v>
      </c>
      <c r="M7" s="8">
        <f>529655+255855+372010+172+1834.67</f>
        <v>1159526.67</v>
      </c>
      <c r="N7" s="8"/>
      <c r="O7" s="8">
        <f>496367+280703+406130+130+130+164+2188.5</f>
        <v>1185812.5</v>
      </c>
      <c r="P7" s="8"/>
      <c r="Q7" s="8">
        <f>72423+72423+91429+2503+245911+16275+11413+37668+37668+47552+1981+141371+7549+6037+48606+48606+61358+1926+203759+11302+8116+110+110+138+2407.2</f>
        <v>1178641.2</v>
      </c>
    </row>
    <row r="8" spans="1:17" ht="12.75">
      <c r="A8" t="s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2.75">
      <c r="A10" s="1" t="s">
        <v>49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</row>
    <row r="11" spans="1:17" s="1" customFormat="1" ht="12.75">
      <c r="A11" s="1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2.75">
      <c r="A12" s="1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2.75">
      <c r="A13" s="1" t="s">
        <v>40</v>
      </c>
      <c r="B13" s="8"/>
      <c r="C13" s="8">
        <f>312+312+208</f>
        <v>832</v>
      </c>
      <c r="D13" s="8">
        <v>8.47</v>
      </c>
      <c r="E13" s="8"/>
      <c r="F13" s="10">
        <f>200+200+200</f>
        <v>600</v>
      </c>
      <c r="G13" s="8">
        <f>900+225+132</f>
        <v>1257</v>
      </c>
      <c r="H13" s="8"/>
      <c r="I13" s="8">
        <f>1500+100+200+200+1128+376</f>
        <v>3504</v>
      </c>
      <c r="J13" s="8">
        <f>150+1787</f>
        <v>1937</v>
      </c>
      <c r="K13" s="8"/>
      <c r="L13" s="8">
        <f>1562+104+208+208</f>
        <v>2082</v>
      </c>
      <c r="M13" s="8">
        <f>78</f>
        <v>78</v>
      </c>
      <c r="N13" s="8"/>
      <c r="O13" s="8">
        <f>1582+105+211+211</f>
        <v>2109</v>
      </c>
      <c r="P13" s="8"/>
      <c r="Q13" s="8">
        <f>1626+108+217+217</f>
        <v>2168</v>
      </c>
    </row>
    <row r="14" spans="1:17" s="1" customFormat="1" ht="12.75">
      <c r="A14" s="1" t="s">
        <v>39</v>
      </c>
      <c r="B14" s="8"/>
      <c r="C14" s="8">
        <v>3380</v>
      </c>
      <c r="D14" s="8">
        <v>1530</v>
      </c>
      <c r="E14" s="8"/>
      <c r="F14" s="10">
        <f>300+2100+55765+50+400+700+150+50</f>
        <v>59515</v>
      </c>
      <c r="G14" s="8">
        <f>150+665+3156</f>
        <v>3971</v>
      </c>
      <c r="H14" s="8"/>
      <c r="I14" s="8">
        <f>100+2200</f>
        <v>2300</v>
      </c>
      <c r="J14" s="8">
        <f>189+527</f>
        <v>716</v>
      </c>
      <c r="K14" s="8"/>
      <c r="L14" s="10">
        <f>104+2290</f>
        <v>2394</v>
      </c>
      <c r="M14" s="8">
        <v>739</v>
      </c>
      <c r="N14" s="8"/>
      <c r="O14" s="8">
        <f>105+2320</f>
        <v>2425</v>
      </c>
      <c r="P14" s="8"/>
      <c r="Q14" s="8">
        <f>108+2386</f>
        <v>2494</v>
      </c>
    </row>
    <row r="15" spans="1:17" s="1" customFormat="1" ht="12.75">
      <c r="A15" s="1" t="s">
        <v>41</v>
      </c>
      <c r="B15" s="8"/>
      <c r="C15" s="8">
        <v>164804.16</v>
      </c>
      <c r="D15" s="8">
        <v>139154.47</v>
      </c>
      <c r="E15" s="8"/>
      <c r="F15" s="8">
        <f>59800-2000+100+29500-200+4300</f>
        <v>91500</v>
      </c>
      <c r="G15" s="8">
        <f>55521+19+889+26757-191-301+65293+87+450+237+4329</f>
        <v>153090</v>
      </c>
      <c r="H15" s="8"/>
      <c r="I15" s="8">
        <f>57788+27100+58764+50+400+600+150+50+846+3090</f>
        <v>148838</v>
      </c>
      <c r="J15" s="8">
        <f>52376+21881+64576+31+501+2175</f>
        <v>141540</v>
      </c>
      <c r="K15" s="8"/>
      <c r="L15" s="8">
        <f>60158+26824+59186+52+416+625+156+52+2035</f>
        <v>149504</v>
      </c>
      <c r="M15" s="8">
        <f>49787+24346+72178-727-2261+544+2221</f>
        <v>146088</v>
      </c>
      <c r="N15" s="8"/>
      <c r="O15" s="8">
        <f>60940+26885+59445+53+421+633+158+53+2061</f>
        <v>150649</v>
      </c>
      <c r="P15" s="8"/>
      <c r="Q15" s="8">
        <f>62647+28256+61109+54+433+651+162+54+2119</f>
        <v>155485</v>
      </c>
    </row>
    <row r="16" spans="1:17" s="1" customFormat="1" ht="12.75">
      <c r="A16" s="1" t="s">
        <v>42</v>
      </c>
      <c r="B16" s="8"/>
      <c r="C16" s="8"/>
      <c r="D16" s="8">
        <f>809.99+2935.91+1128.13</f>
        <v>4874.03</v>
      </c>
      <c r="E16" s="8"/>
      <c r="F16" s="8">
        <f>750+800</f>
        <v>1550</v>
      </c>
      <c r="G16" s="10">
        <f>1949+718+516</f>
        <v>3183</v>
      </c>
      <c r="H16" s="10"/>
      <c r="I16" s="8">
        <f>2000+450+800+3545</f>
        <v>6795</v>
      </c>
      <c r="J16" s="8">
        <v>241</v>
      </c>
      <c r="K16" s="8"/>
      <c r="L16" s="8">
        <f>2082+468+833</f>
        <v>3383</v>
      </c>
      <c r="M16" s="8"/>
      <c r="N16" s="8"/>
      <c r="O16" s="8">
        <f>2109+474+844+75</f>
        <v>3502</v>
      </c>
      <c r="P16" s="8"/>
      <c r="Q16" s="8">
        <f>2168+487+868+77</f>
        <v>3600</v>
      </c>
    </row>
    <row r="17" spans="1:17" s="1" customFormat="1" ht="12.75">
      <c r="A17" s="1" t="s">
        <v>43</v>
      </c>
      <c r="B17" s="8"/>
      <c r="C17" s="8">
        <v>62.4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2.75">
      <c r="A18" s="1" t="s">
        <v>56</v>
      </c>
      <c r="B18" s="8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2.75">
      <c r="A19" s="1" t="s">
        <v>50</v>
      </c>
      <c r="B19" s="8"/>
      <c r="C19" s="10">
        <f>1560+936+416+132.6</f>
        <v>3044.6</v>
      </c>
      <c r="D19" s="8">
        <v>2390</v>
      </c>
      <c r="E19" s="8"/>
      <c r="F19" s="8">
        <f>1200+400</f>
        <v>1600</v>
      </c>
      <c r="G19" s="8"/>
      <c r="H19" s="8"/>
      <c r="I19" s="8"/>
      <c r="J19" s="8"/>
      <c r="K19" s="8"/>
      <c r="L19" s="8">
        <v>2200</v>
      </c>
      <c r="M19" s="8">
        <v>543</v>
      </c>
      <c r="N19" s="8"/>
      <c r="O19" s="8">
        <v>2533</v>
      </c>
      <c r="P19" s="8"/>
      <c r="Q19" s="8">
        <v>1028</v>
      </c>
    </row>
    <row r="20" spans="1:17" s="1" customFormat="1" ht="12.75">
      <c r="A20" s="1" t="s">
        <v>51</v>
      </c>
      <c r="B20" s="8"/>
      <c r="C20" s="10"/>
      <c r="D20" s="8"/>
      <c r="E20" s="8"/>
      <c r="F20" s="8"/>
      <c r="G20" s="8"/>
      <c r="H20" s="8"/>
      <c r="I20" s="8"/>
      <c r="J20" s="8"/>
      <c r="K20" s="8"/>
      <c r="L20" s="8"/>
      <c r="M20" s="8">
        <f>400</f>
        <v>400</v>
      </c>
      <c r="N20" s="8"/>
      <c r="O20" s="8"/>
      <c r="P20" s="8"/>
      <c r="Q20" s="8">
        <v>1028</v>
      </c>
    </row>
    <row r="21" spans="1:17" s="1" customFormat="1" ht="12.75">
      <c r="A21" s="1" t="s">
        <v>67</v>
      </c>
      <c r="B21" s="8"/>
      <c r="C21" s="10">
        <f>624+2520+756+84</f>
        <v>3984</v>
      </c>
      <c r="D21" s="8">
        <f>2743.34+1059+91.14+583.4+791.66+210.6+276.79+458.01</f>
        <v>6213.9400000000005</v>
      </c>
      <c r="E21" s="8"/>
      <c r="F21" s="8">
        <v>871</v>
      </c>
      <c r="G21" s="10">
        <f>90+3797+325+411</f>
        <v>4623</v>
      </c>
      <c r="H21" s="10"/>
      <c r="I21" s="8"/>
      <c r="J21" s="8">
        <f>-128+565+37+586+1649</f>
        <v>2709</v>
      </c>
      <c r="K21" s="8"/>
      <c r="L21" s="8">
        <v>1476</v>
      </c>
      <c r="M21" s="8">
        <f>369+125+45+1286+200+3072+989</f>
        <v>6086</v>
      </c>
      <c r="N21" s="8"/>
      <c r="O21" s="8">
        <f>2026+1013</f>
        <v>3039</v>
      </c>
      <c r="P21" s="8"/>
      <c r="Q21" s="8">
        <f>1542+3084</f>
        <v>4626</v>
      </c>
    </row>
    <row r="22" spans="1:17" s="1" customFormat="1" ht="12.75">
      <c r="A22" s="1" t="s">
        <v>52</v>
      </c>
      <c r="B22" s="8"/>
      <c r="C22" s="10"/>
      <c r="D22" s="8">
        <f>419.42+419.42+817.78+260</f>
        <v>1916.62</v>
      </c>
      <c r="E22" s="8"/>
      <c r="F22" s="8"/>
      <c r="G22" s="8"/>
      <c r="H22" s="8"/>
      <c r="I22" s="8"/>
      <c r="J22" s="8">
        <f>2407+1587+1191</f>
        <v>5185</v>
      </c>
      <c r="K22" s="8"/>
      <c r="L22" s="8">
        <v>4365</v>
      </c>
      <c r="M22" s="8">
        <f>688+2974+592+360+1416</f>
        <v>6030</v>
      </c>
      <c r="N22" s="8"/>
      <c r="O22" s="8">
        <v>3799</v>
      </c>
      <c r="P22" s="8"/>
      <c r="Q22" s="8">
        <v>7626</v>
      </c>
    </row>
    <row r="23" spans="1:17" s="1" customFormat="1" ht="12.75">
      <c r="A23" s="1" t="s">
        <v>53</v>
      </c>
      <c r="B23" s="8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" customFormat="1" ht="12.75">
      <c r="B24" s="8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" t="s">
        <v>59</v>
      </c>
      <c r="B30" s="5">
        <f aca="true" t="shared" si="0" ref="B30:K30">SUM(B3:B29)</f>
        <v>54.75</v>
      </c>
      <c r="C30" s="5">
        <f t="shared" si="0"/>
        <v>1782672.96</v>
      </c>
      <c r="D30" s="5">
        <f t="shared" si="0"/>
        <v>3687104.18</v>
      </c>
      <c r="E30" s="5">
        <f t="shared" si="0"/>
        <v>57.37</v>
      </c>
      <c r="F30" s="5">
        <f t="shared" si="0"/>
        <v>4495379.17</v>
      </c>
      <c r="G30" s="5">
        <f t="shared" si="0"/>
        <v>4062185</v>
      </c>
      <c r="H30" s="5">
        <f t="shared" si="0"/>
        <v>55.47</v>
      </c>
      <c r="I30" s="5">
        <f t="shared" si="0"/>
        <v>4212248</v>
      </c>
      <c r="J30" s="5">
        <f t="shared" si="0"/>
        <v>4038744.17</v>
      </c>
      <c r="K30" s="5">
        <f t="shared" si="0"/>
        <v>56.17</v>
      </c>
      <c r="L30" s="5">
        <f aca="true" t="shared" si="1" ref="L30:Q30">SUM(L3:L29)</f>
        <v>4132020.3000000003</v>
      </c>
      <c r="M30" s="5">
        <f t="shared" si="1"/>
        <v>3998773.67</v>
      </c>
      <c r="N30" s="5">
        <f t="shared" si="1"/>
        <v>50.57000000000001</v>
      </c>
      <c r="O30" s="5">
        <f t="shared" si="1"/>
        <v>4059648.33</v>
      </c>
      <c r="P30" s="5">
        <f t="shared" si="1"/>
        <v>50.8</v>
      </c>
      <c r="Q30" s="5">
        <f t="shared" si="1"/>
        <v>3983727.3499999996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t="s">
        <v>57</v>
      </c>
      <c r="B35" s="8"/>
      <c r="C35" s="8">
        <v>398870.98</v>
      </c>
      <c r="D35" s="8">
        <v>825787.49</v>
      </c>
      <c r="E35" s="8"/>
      <c r="F35" s="8">
        <v>958692.63</v>
      </c>
      <c r="G35" s="8">
        <f>43743823.19/207467376.6*4057105</f>
        <v>855427.4252256822</v>
      </c>
      <c r="H35" s="8"/>
      <c r="I35" s="8">
        <v>1017235.88</v>
      </c>
      <c r="J35" s="8">
        <v>971486.2</v>
      </c>
      <c r="K35" s="8"/>
      <c r="L35" s="8">
        <v>934496.99</v>
      </c>
      <c r="M35" s="8">
        <v>899323.19</v>
      </c>
      <c r="N35" s="8"/>
      <c r="O35" s="8">
        <v>892752.71</v>
      </c>
      <c r="P35" s="8"/>
      <c r="Q35" s="8">
        <v>910803.2</v>
      </c>
    </row>
    <row r="36" spans="1:17" ht="12.75">
      <c r="A36" t="s">
        <v>58</v>
      </c>
      <c r="B36" s="8"/>
      <c r="C36" s="8">
        <v>1352932.8</v>
      </c>
      <c r="D36" s="8">
        <v>2799966.91</v>
      </c>
      <c r="E36" s="8"/>
      <c r="F36" s="8">
        <v>3450965.43</v>
      </c>
      <c r="G36" s="8">
        <f>157370735.67/207467376.6*4057105</f>
        <v>3077445.760407014</v>
      </c>
      <c r="H36" s="8"/>
      <c r="I36" s="8">
        <v>3099405.46</v>
      </c>
      <c r="J36" s="8">
        <v>2958470.89</v>
      </c>
      <c r="K36" s="8"/>
      <c r="L36" s="8">
        <v>3095680.96</v>
      </c>
      <c r="M36" s="8">
        <v>2983710.48</v>
      </c>
      <c r="N36" s="8"/>
      <c r="O36" s="8">
        <v>3059672.6</v>
      </c>
      <c r="P36" s="8"/>
      <c r="Q36" s="8">
        <v>2948357.89</v>
      </c>
    </row>
    <row r="37" spans="1:17" ht="12.75">
      <c r="A37" t="s">
        <v>7</v>
      </c>
      <c r="B37" s="8"/>
      <c r="C37" s="8">
        <v>30869.18</v>
      </c>
      <c r="D37" s="8">
        <v>61349.78</v>
      </c>
      <c r="E37" s="8"/>
      <c r="F37" s="8">
        <v>83115.11</v>
      </c>
      <c r="G37" s="8">
        <f>6352817.74/207467376.6*4057105</f>
        <v>124231.81436730377</v>
      </c>
      <c r="H37" s="8"/>
      <c r="I37" s="8">
        <v>93772.66</v>
      </c>
      <c r="J37" s="8">
        <v>102678.08</v>
      </c>
      <c r="K37" s="8"/>
      <c r="L37" s="8">
        <v>101842.35</v>
      </c>
      <c r="M37" s="8">
        <v>115679</v>
      </c>
      <c r="N37" s="8"/>
      <c r="O37" s="8">
        <v>107223.02</v>
      </c>
      <c r="P37" s="8"/>
      <c r="Q37" s="8">
        <v>116318.26</v>
      </c>
    </row>
    <row r="38" spans="2:17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t="s">
        <v>54</v>
      </c>
      <c r="B41" s="8"/>
      <c r="C41" s="8"/>
      <c r="D41" s="8"/>
      <c r="E41" s="8"/>
      <c r="F41" s="8">
        <v>2606</v>
      </c>
      <c r="G41" s="8">
        <v>5080</v>
      </c>
      <c r="H41" s="8"/>
      <c r="I41" s="8">
        <v>1834</v>
      </c>
      <c r="J41" s="8">
        <v>6109</v>
      </c>
      <c r="K41" s="8"/>
      <c r="L41" s="8"/>
      <c r="M41" s="8">
        <v>61</v>
      </c>
      <c r="N41" s="8"/>
      <c r="O41" s="8"/>
      <c r="P41" s="8"/>
      <c r="Q41" s="8">
        <f>8138+110</f>
        <v>8248</v>
      </c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1" customFormat="1" ht="12.75">
      <c r="A43" s="1" t="s">
        <v>15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" customFormat="1" ht="12.75">
      <c r="A44" s="1" t="s">
        <v>17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1" customFormat="1" ht="12.75">
      <c r="A45" s="1" t="s">
        <v>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2.75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ht="12.75">
      <c r="A49" s="2" t="s">
        <v>60</v>
      </c>
      <c r="B49" s="5">
        <f aca="true" t="shared" si="2" ref="B49:N49">SUM(B32:B48)</f>
        <v>0</v>
      </c>
      <c r="C49" s="5">
        <f t="shared" si="2"/>
        <v>1782672.96</v>
      </c>
      <c r="D49" s="5">
        <f t="shared" si="2"/>
        <v>3687104.18</v>
      </c>
      <c r="E49" s="5">
        <f t="shared" si="2"/>
        <v>0</v>
      </c>
      <c r="F49" s="5">
        <f t="shared" si="2"/>
        <v>4495379.170000001</v>
      </c>
      <c r="G49" s="5">
        <f t="shared" si="2"/>
        <v>4062184.9999999995</v>
      </c>
      <c r="H49" s="5">
        <f t="shared" si="2"/>
        <v>0</v>
      </c>
      <c r="I49" s="5">
        <f t="shared" si="2"/>
        <v>4212248</v>
      </c>
      <c r="J49" s="5">
        <f t="shared" si="2"/>
        <v>4038744.17</v>
      </c>
      <c r="K49" s="5">
        <f t="shared" si="2"/>
        <v>0</v>
      </c>
      <c r="L49" s="5">
        <f t="shared" si="2"/>
        <v>4132020.3000000003</v>
      </c>
      <c r="M49" s="5">
        <f t="shared" si="2"/>
        <v>3998773.67</v>
      </c>
      <c r="N49" s="5">
        <f t="shared" si="2"/>
        <v>0</v>
      </c>
      <c r="O49" s="5">
        <f>SUM(O32:O48)</f>
        <v>4059648.33</v>
      </c>
      <c r="P49" s="5">
        <f>SUM(P32:P48)</f>
        <v>0</v>
      </c>
      <c r="Q49" s="5">
        <f>SUM(Q32:Q48)</f>
        <v>3983727.3499999996</v>
      </c>
    </row>
    <row r="51" spans="1:17" ht="13.5" thickBot="1">
      <c r="A51" s="12" t="s">
        <v>74</v>
      </c>
      <c r="B51" s="13">
        <f aca="true" t="shared" si="3" ref="B51:M51">+B30-B49</f>
        <v>54.75</v>
      </c>
      <c r="C51" s="13">
        <f t="shared" si="3"/>
        <v>0</v>
      </c>
      <c r="D51" s="13">
        <f t="shared" si="3"/>
        <v>0</v>
      </c>
      <c r="E51" s="13">
        <f t="shared" si="3"/>
        <v>57.37</v>
      </c>
      <c r="F51" s="13">
        <f t="shared" si="3"/>
        <v>0</v>
      </c>
      <c r="G51" s="13">
        <f t="shared" si="3"/>
        <v>0</v>
      </c>
      <c r="H51" s="13">
        <f t="shared" si="3"/>
        <v>55.47</v>
      </c>
      <c r="I51" s="13">
        <f t="shared" si="3"/>
        <v>0</v>
      </c>
      <c r="J51" s="13">
        <f t="shared" si="3"/>
        <v>0</v>
      </c>
      <c r="K51" s="13">
        <f t="shared" si="3"/>
        <v>56.17</v>
      </c>
      <c r="L51" s="13">
        <f t="shared" si="3"/>
        <v>0</v>
      </c>
      <c r="M51" s="13">
        <f t="shared" si="3"/>
        <v>0</v>
      </c>
      <c r="N51" s="13">
        <f>+N30-N49</f>
        <v>50.57000000000001</v>
      </c>
      <c r="O51" s="13">
        <f>+O30-O49</f>
        <v>0</v>
      </c>
      <c r="P51" s="13">
        <f>+P30-P49</f>
        <v>50.8</v>
      </c>
      <c r="Q51" s="13">
        <f>+Q30-Q49</f>
        <v>0</v>
      </c>
    </row>
    <row r="53" ht="12.75">
      <c r="A53" t="s">
        <v>71</v>
      </c>
    </row>
    <row r="54" ht="12.75">
      <c r="A54" t="s">
        <v>72</v>
      </c>
    </row>
    <row r="55" ht="12.75">
      <c r="A55" t="s">
        <v>73</v>
      </c>
    </row>
    <row r="57" ht="12.75">
      <c r="A57" t="s">
        <v>90</v>
      </c>
    </row>
    <row r="58" ht="12.75">
      <c r="A58" t="s">
        <v>11</v>
      </c>
    </row>
    <row r="59" ht="12.75">
      <c r="A59" t="s">
        <v>91</v>
      </c>
    </row>
    <row r="60" ht="12.75">
      <c r="A60" t="s">
        <v>92</v>
      </c>
    </row>
    <row r="61" ht="12.75">
      <c r="A61" t="s">
        <v>96</v>
      </c>
    </row>
  </sheetData>
  <printOptions horizontalCentered="1"/>
  <pageMargins left="0.25" right="0.25" top="1" bottom="1" header="0.5" footer="0.5"/>
  <pageSetup fitToHeight="1" fitToWidth="1" orientation="landscape" paperSize="5" scale="41"/>
  <headerFooter alignWithMargins="0">
    <oddHeader>&amp;C&amp;"Times New Roman,Bold"&amp;16Appendix E:  Madison Metropolitan School District
Fine Arts Financial Analysis - Art</oddHeader>
    <oddFooter>&amp;L&amp;"Times New Roman,Regular"&amp;Z&amp;F&amp;F&amp;A
&amp;RAppendix E, Page  &amp;"Times New Roman,Regular"&amp;P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75" zoomScaleNormal="75" workbookViewId="0" topLeftCell="A1">
      <pane xSplit="1" ySplit="2" topLeftCell="M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0" sqref="O60"/>
    </sheetView>
  </sheetViews>
  <sheetFormatPr defaultColWidth="11.00390625" defaultRowHeight="12.75"/>
  <cols>
    <col min="1" max="1" width="36.625" style="0" customWidth="1"/>
    <col min="2" max="2" width="9.25390625" style="0" customWidth="1"/>
    <col min="3" max="3" width="13.25390625" style="0" bestFit="1" customWidth="1"/>
    <col min="4" max="4" width="15.375" style="0" bestFit="1" customWidth="1"/>
    <col min="5" max="5" width="8.625" style="0" customWidth="1"/>
    <col min="6" max="7" width="15.00390625" style="0" bestFit="1" customWidth="1"/>
    <col min="8" max="8" width="10.00390625" style="0" customWidth="1"/>
    <col min="9" max="10" width="15.00390625" style="0" bestFit="1" customWidth="1"/>
    <col min="11" max="11" width="10.375" style="0" customWidth="1"/>
    <col min="12" max="13" width="15.00390625" style="0" bestFit="1" customWidth="1"/>
    <col min="14" max="14" width="10.875" style="0" customWidth="1"/>
    <col min="15" max="15" width="15.00390625" style="0" bestFit="1" customWidth="1"/>
    <col min="16" max="16" width="10.875" style="0" customWidth="1"/>
    <col min="17" max="17" width="15.0039062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66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17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t="s">
        <v>22</v>
      </c>
      <c r="B5" s="8"/>
      <c r="C5" s="8"/>
      <c r="D5" s="8"/>
      <c r="E5" s="8"/>
      <c r="F5" s="8"/>
      <c r="G5" s="8"/>
      <c r="H5" s="8"/>
      <c r="I5" s="6"/>
      <c r="J5" s="6"/>
      <c r="K5" s="8"/>
      <c r="L5" s="8"/>
      <c r="M5" s="8"/>
      <c r="N5" s="8"/>
      <c r="O5" s="8"/>
      <c r="P5" s="8"/>
      <c r="Q5" s="8"/>
    </row>
    <row r="6" spans="1:17" ht="12.75">
      <c r="A6" t="s">
        <v>37</v>
      </c>
      <c r="B6" s="8">
        <f>23.7+11.3</f>
        <v>35</v>
      </c>
      <c r="C6" s="8">
        <f>500+3262+633605</f>
        <v>637367</v>
      </c>
      <c r="D6" s="8">
        <f>121.02+(B6*64486)</f>
        <v>2257131.02</v>
      </c>
      <c r="E6" s="8">
        <f>26.8+10.7+0.07</f>
        <v>37.57</v>
      </c>
      <c r="F6" s="10">
        <f>747585+376798+171728+1050+3516.5</f>
        <v>1300677.5</v>
      </c>
      <c r="G6" s="8">
        <f>768110+114698+203539+131515+973</f>
        <v>1218835</v>
      </c>
      <c r="H6" s="8">
        <f>26.8+11.1+0.17</f>
        <v>38.07</v>
      </c>
      <c r="I6" s="8">
        <f>815174+117273+209155+137454+1085+6830.5</f>
        <v>1286971.5</v>
      </c>
      <c r="J6" s="8">
        <f>813314+108365+207589+110337+530+5062.17</f>
        <v>1245197.17</v>
      </c>
      <c r="K6" s="10">
        <f>27.4+0.17</f>
        <v>27.57</v>
      </c>
      <c r="L6" s="8">
        <f>843902+105254+204789+125013+5681.47</f>
        <v>1284639.47</v>
      </c>
      <c r="M6" s="8">
        <f>835731+105633+183458+126501+205+5170</f>
        <v>1256698</v>
      </c>
      <c r="N6" s="8">
        <f>23.1+0.17</f>
        <v>23.270000000000003</v>
      </c>
      <c r="O6" s="8">
        <f>756854+109033+205147+128809+1290+1290+6131.83</f>
        <v>1208554.83</v>
      </c>
      <c r="P6" s="8">
        <f>14+1.5+3.75+3+0.17</f>
        <v>22.42</v>
      </c>
      <c r="Q6" s="8">
        <f>795894+96186+199007+135927+558+1717+6442.15</f>
        <v>1235731.15</v>
      </c>
    </row>
    <row r="7" spans="1:17" ht="12.75">
      <c r="A7" t="s">
        <v>38</v>
      </c>
      <c r="B7" s="8"/>
      <c r="C7" s="8">
        <f>26+26+38+297+297+436+247468</f>
        <v>248588</v>
      </c>
      <c r="D7" s="8">
        <v>9.25</v>
      </c>
      <c r="E7" s="8"/>
      <c r="F7" s="8">
        <f>251170+179412+72744+200+3989.67</f>
        <v>507515.67</v>
      </c>
      <c r="G7" s="8">
        <f>310606+58238+109064+45519+27+27+74+15+3</f>
        <v>523573</v>
      </c>
      <c r="H7" s="8"/>
      <c r="I7" s="8">
        <f>306496+58768+112634+56045+64+64+83+2465.5</f>
        <v>536619.5</v>
      </c>
      <c r="J7" s="8">
        <f>346665+59592+112191+56778+7+7+39+45+2021</f>
        <v>577345</v>
      </c>
      <c r="K7" s="8"/>
      <c r="L7" s="8">
        <f>353578+68832+119224+49976+378+378+477+2172.83</f>
        <v>595015.83</v>
      </c>
      <c r="M7" s="8">
        <f>355629+49634+106629+65981+16+4+4+1834.67</f>
        <v>579731.67</v>
      </c>
      <c r="N7" s="8"/>
      <c r="O7" s="8">
        <f>339459+53189+118811+70404+509+2188.5</f>
        <v>584560.5</v>
      </c>
      <c r="P7" s="8"/>
      <c r="Q7" s="8">
        <f>48230+48230+60888+1674+162048+10610+7694+5829+5829+7359+430+24507+1032+885+12059+12059+15224+333+64781+2958+1933+8237+8237+10399+44780+189+1792+1319+138+138+174+2407.2</f>
        <v>572402.2</v>
      </c>
    </row>
    <row r="8" spans="2:17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2.75">
      <c r="A10" s="1" t="s">
        <v>64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</row>
    <row r="11" spans="1:17" s="1" customFormat="1" ht="12.75">
      <c r="A11" s="1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8"/>
      <c r="P11" s="9"/>
      <c r="Q11" s="8"/>
    </row>
    <row r="12" spans="1:17" s="1" customFormat="1" ht="12.75">
      <c r="A12" s="1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8"/>
      <c r="P12" s="9"/>
      <c r="Q12" s="8"/>
    </row>
    <row r="13" spans="1:17" s="1" customFormat="1" ht="12.75">
      <c r="A13" s="1" t="s">
        <v>40</v>
      </c>
      <c r="B13" s="8"/>
      <c r="C13" s="6"/>
      <c r="D13" s="6"/>
      <c r="E13" s="6"/>
      <c r="F13" s="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2.75">
      <c r="A14" s="1" t="s">
        <v>39</v>
      </c>
      <c r="B14" s="8"/>
      <c r="C14" s="8"/>
      <c r="D14" s="8">
        <f>75+73</f>
        <v>148</v>
      </c>
      <c r="E14" s="8"/>
      <c r="F14" s="8"/>
      <c r="G14" s="8">
        <v>1009</v>
      </c>
      <c r="H14" s="8"/>
      <c r="I14" s="8">
        <f>500</f>
        <v>500</v>
      </c>
      <c r="J14" s="9">
        <f>1421</f>
        <v>1421</v>
      </c>
      <c r="K14" s="9"/>
      <c r="L14" s="9">
        <v>521</v>
      </c>
      <c r="M14" s="9">
        <v>322</v>
      </c>
      <c r="N14" s="9"/>
      <c r="O14" s="8">
        <f>528</f>
        <v>528</v>
      </c>
      <c r="P14" s="9"/>
      <c r="Q14" s="8">
        <f>543</f>
        <v>543</v>
      </c>
    </row>
    <row r="15" spans="1:17" s="1" customFormat="1" ht="12.75">
      <c r="A15" s="1" t="s">
        <v>41</v>
      </c>
      <c r="B15" s="8"/>
      <c r="C15" s="8">
        <f>275+700+500+100</f>
        <v>1575</v>
      </c>
      <c r="D15" s="8">
        <f>156.08+750.17+229.34+25</f>
        <v>1160.59</v>
      </c>
      <c r="E15" s="8"/>
      <c r="F15" s="8">
        <f>1075+373</f>
        <v>1448</v>
      </c>
      <c r="G15" s="8">
        <f>286+91+73+18</f>
        <v>468</v>
      </c>
      <c r="H15" s="8"/>
      <c r="I15" s="8">
        <f>1575+1000+373</f>
        <v>2948</v>
      </c>
      <c r="J15" s="9">
        <f>1237-27+1000</f>
        <v>2210</v>
      </c>
      <c r="K15" s="9"/>
      <c r="L15" s="9">
        <f>388+1640</f>
        <v>2028</v>
      </c>
      <c r="M15" s="9">
        <f>75+497</f>
        <v>572</v>
      </c>
      <c r="N15" s="9"/>
      <c r="O15" s="8">
        <f>1662+393</f>
        <v>2055</v>
      </c>
      <c r="P15" s="9"/>
      <c r="Q15" s="8">
        <f>1709+404</f>
        <v>2113</v>
      </c>
    </row>
    <row r="16" spans="1:17" s="1" customFormat="1" ht="12.75">
      <c r="A16" s="1" t="s">
        <v>42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8"/>
      <c r="P16" s="9"/>
      <c r="Q16" s="8"/>
    </row>
    <row r="17" spans="1:17" s="1" customFormat="1" ht="12.75">
      <c r="A17" s="1" t="s">
        <v>43</v>
      </c>
      <c r="B17" s="8"/>
      <c r="C17" s="8"/>
      <c r="D17" s="8"/>
      <c r="E17" s="8"/>
      <c r="F17" s="8"/>
      <c r="G17" s="8"/>
      <c r="H17" s="8"/>
      <c r="I17" s="8">
        <f>560</f>
        <v>560</v>
      </c>
      <c r="J17" s="9">
        <f>472</f>
        <v>472</v>
      </c>
      <c r="K17" s="9"/>
      <c r="L17" s="9">
        <f>583</f>
        <v>583</v>
      </c>
      <c r="M17" s="9"/>
      <c r="N17" s="9"/>
      <c r="O17" s="8">
        <f>2012</f>
        <v>2012</v>
      </c>
      <c r="P17" s="9"/>
      <c r="Q17" s="8">
        <v>2068</v>
      </c>
    </row>
    <row r="18" spans="1:17" s="1" customFormat="1" ht="12.75">
      <c r="A18" s="1" t="s">
        <v>45</v>
      </c>
      <c r="B18" s="8"/>
      <c r="C18" s="8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8"/>
      <c r="P18" s="9"/>
      <c r="Q18" s="8"/>
    </row>
    <row r="19" spans="1:17" s="1" customFormat="1" ht="12.75">
      <c r="A19" s="1" t="s">
        <v>50</v>
      </c>
      <c r="B19" s="8"/>
      <c r="C19" s="8">
        <f>1872+1352+1040+208+52</f>
        <v>4524</v>
      </c>
      <c r="D19" s="10">
        <f>750+1155.16+275.3+35.73</f>
        <v>2216.19</v>
      </c>
      <c r="E19" s="10"/>
      <c r="F19" s="8">
        <f>3622+2000+1000+200+30</f>
        <v>6852</v>
      </c>
      <c r="G19" s="8">
        <f>250+571</f>
        <v>821</v>
      </c>
      <c r="H19" s="8"/>
      <c r="I19" s="8">
        <f>3478+1880+376+188+188+28</f>
        <v>6138</v>
      </c>
      <c r="J19" s="9">
        <f>125+2249+390</f>
        <v>2764</v>
      </c>
      <c r="K19" s="9"/>
      <c r="L19" s="9">
        <f>4000+2200</f>
        <v>6200</v>
      </c>
      <c r="M19" s="9">
        <f>-934+3980+118+439</f>
        <v>3603</v>
      </c>
      <c r="N19" s="9"/>
      <c r="O19" s="8">
        <f>5065+101</f>
        <v>5166</v>
      </c>
      <c r="P19" s="9"/>
      <c r="Q19" s="8">
        <f>3084+411+1799+103</f>
        <v>5397</v>
      </c>
    </row>
    <row r="20" spans="1:17" s="1" customFormat="1" ht="12.75">
      <c r="A20" s="1" t="s">
        <v>51</v>
      </c>
      <c r="B20" s="8"/>
      <c r="C20" s="8">
        <f>208</f>
        <v>208</v>
      </c>
      <c r="D20" s="8"/>
      <c r="E20" s="8"/>
      <c r="F20" s="8">
        <v>200</v>
      </c>
      <c r="G20" s="8"/>
      <c r="H20" s="8"/>
      <c r="I20" s="8">
        <f>940</f>
        <v>940</v>
      </c>
      <c r="J20" s="9">
        <f>947</f>
        <v>947</v>
      </c>
      <c r="K20" s="9"/>
      <c r="L20" s="9">
        <v>750</v>
      </c>
      <c r="M20" s="9"/>
      <c r="N20" s="9"/>
      <c r="O20" s="8">
        <f>2229+810</f>
        <v>3039</v>
      </c>
      <c r="P20" s="9"/>
      <c r="Q20" s="8">
        <f>822+771</f>
        <v>1593</v>
      </c>
    </row>
    <row r="21" spans="1:17" s="1" customFormat="1" ht="12.75">
      <c r="A21" s="1" t="s">
        <v>67</v>
      </c>
      <c r="B21" s="8"/>
      <c r="C21" s="8">
        <f>1456+936</f>
        <v>2392</v>
      </c>
      <c r="D21" s="8">
        <f>2903.24+105.94</f>
        <v>3009.18</v>
      </c>
      <c r="E21" s="8"/>
      <c r="F21" s="10">
        <f>1500+1000</f>
        <v>2500</v>
      </c>
      <c r="G21" s="8">
        <f>2517+225+303+2939+706+451+42</f>
        <v>7183</v>
      </c>
      <c r="H21" s="8"/>
      <c r="I21" s="8">
        <f>846+940</f>
        <v>1786</v>
      </c>
      <c r="J21" s="9">
        <f>1018+445+693-165</f>
        <v>1991</v>
      </c>
      <c r="K21" s="9"/>
      <c r="L21" s="9">
        <v>1475</v>
      </c>
      <c r="M21" s="9">
        <f>208+104+1313+479+305+317</f>
        <v>2726</v>
      </c>
      <c r="N21" s="9"/>
      <c r="O21" s="8">
        <f>3039+2026</f>
        <v>5065</v>
      </c>
      <c r="P21" s="9"/>
      <c r="Q21" s="10">
        <f>2654+1028+206+2056+3084</f>
        <v>9028</v>
      </c>
    </row>
    <row r="22" spans="1:17" s="1" customFormat="1" ht="12.75">
      <c r="A22" s="1" t="s">
        <v>52</v>
      </c>
      <c r="B22" s="8"/>
      <c r="C22" s="8"/>
      <c r="D22" s="8"/>
      <c r="E22" s="8"/>
      <c r="F22" s="8">
        <v>5500</v>
      </c>
      <c r="G22" s="8">
        <v>882</v>
      </c>
      <c r="H22" s="8"/>
      <c r="I22" s="8">
        <f>4230</f>
        <v>4230</v>
      </c>
      <c r="J22" s="9">
        <f>6367</f>
        <v>6367</v>
      </c>
      <c r="K22" s="9"/>
      <c r="L22" s="9">
        <v>4742</v>
      </c>
      <c r="M22" s="9">
        <v>1646</v>
      </c>
      <c r="N22" s="9"/>
      <c r="O22" s="8">
        <f>4052</f>
        <v>4052</v>
      </c>
      <c r="P22" s="9"/>
      <c r="Q22" s="10">
        <f>4165+514</f>
        <v>4679</v>
      </c>
    </row>
    <row r="23" spans="1:17" s="1" customFormat="1" ht="12.75">
      <c r="A23" s="1" t="s">
        <v>53</v>
      </c>
      <c r="B23" s="8"/>
      <c r="C23" s="8">
        <v>104</v>
      </c>
      <c r="D23" s="8">
        <v>83.33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" customFormat="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" t="s">
        <v>59</v>
      </c>
      <c r="B30" s="5">
        <f aca="true" t="shared" si="0" ref="B30:K30">SUM(B3:B29)</f>
        <v>35</v>
      </c>
      <c r="C30" s="5">
        <f t="shared" si="0"/>
        <v>894758</v>
      </c>
      <c r="D30" s="5">
        <f t="shared" si="0"/>
        <v>2263757.56</v>
      </c>
      <c r="E30" s="5">
        <f t="shared" si="0"/>
        <v>37.57</v>
      </c>
      <c r="F30" s="5">
        <f t="shared" si="0"/>
        <v>1824693.17</v>
      </c>
      <c r="G30" s="5">
        <f t="shared" si="0"/>
        <v>1752771</v>
      </c>
      <c r="H30" s="5">
        <f t="shared" si="0"/>
        <v>38.07</v>
      </c>
      <c r="I30" s="5">
        <f t="shared" si="0"/>
        <v>1840693</v>
      </c>
      <c r="J30" s="5">
        <f t="shared" si="0"/>
        <v>1838714.17</v>
      </c>
      <c r="K30" s="5">
        <f t="shared" si="0"/>
        <v>27.57</v>
      </c>
      <c r="L30" s="5">
        <f aca="true" t="shared" si="1" ref="L30:Q30">SUM(L3:L29)</f>
        <v>1895954.2999999998</v>
      </c>
      <c r="M30" s="5">
        <f t="shared" si="1"/>
        <v>1845298.67</v>
      </c>
      <c r="N30" s="5">
        <f t="shared" si="1"/>
        <v>23.270000000000003</v>
      </c>
      <c r="O30" s="5">
        <f t="shared" si="1"/>
        <v>1815032.33</v>
      </c>
      <c r="P30" s="5">
        <f t="shared" si="1"/>
        <v>22.42</v>
      </c>
      <c r="Q30" s="5">
        <f t="shared" si="1"/>
        <v>1833554.3499999999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t="s">
        <v>57</v>
      </c>
      <c r="B35" s="8"/>
      <c r="C35" s="8">
        <v>200201.05</v>
      </c>
      <c r="D35" s="8">
        <v>506610.36</v>
      </c>
      <c r="E35" s="8"/>
      <c r="F35" s="8">
        <v>389363.06</v>
      </c>
      <c r="G35" s="8">
        <v>368984.14</v>
      </c>
      <c r="H35" s="8"/>
      <c r="I35" s="8">
        <v>444711.37</v>
      </c>
      <c r="J35" s="8">
        <v>442581.55</v>
      </c>
      <c r="K35" s="8"/>
      <c r="L35" s="8">
        <v>428788.7</v>
      </c>
      <c r="M35" s="8">
        <v>414740.28</v>
      </c>
      <c r="N35" s="8"/>
      <c r="O35" s="8">
        <v>399141.73</v>
      </c>
      <c r="P35" s="8"/>
      <c r="Q35" s="8">
        <v>420076.93</v>
      </c>
    </row>
    <row r="36" spans="1:17" ht="12.75">
      <c r="A36" t="s">
        <v>58</v>
      </c>
      <c r="B36" s="8"/>
      <c r="C36" s="8">
        <v>679063.11</v>
      </c>
      <c r="D36" s="8">
        <v>1717744.87</v>
      </c>
      <c r="E36" s="8"/>
      <c r="F36" s="8">
        <v>1401573.77</v>
      </c>
      <c r="G36" s="8">
        <v>1327440.12</v>
      </c>
      <c r="H36" s="8"/>
      <c r="I36" s="8">
        <v>1354986.45</v>
      </c>
      <c r="J36" s="8">
        <v>1347795.4</v>
      </c>
      <c r="K36" s="8"/>
      <c r="L36" s="8">
        <v>1420435.81</v>
      </c>
      <c r="M36" s="8">
        <v>1375995.78</v>
      </c>
      <c r="N36" s="8"/>
      <c r="O36" s="8">
        <v>1367952.15</v>
      </c>
      <c r="P36" s="8"/>
      <c r="Q36" s="8">
        <v>1359829.59</v>
      </c>
    </row>
    <row r="37" spans="1:17" ht="12.75">
      <c r="A37" t="s">
        <v>7</v>
      </c>
      <c r="B37" s="8"/>
      <c r="C37" s="8">
        <v>15493.84</v>
      </c>
      <c r="D37" s="8">
        <v>37637.33</v>
      </c>
      <c r="E37" s="8"/>
      <c r="F37" s="8">
        <v>33756.34</v>
      </c>
      <c r="G37" s="8">
        <v>53586.74</v>
      </c>
      <c r="H37" s="8"/>
      <c r="I37" s="8">
        <v>40995.18</v>
      </c>
      <c r="J37" s="8">
        <v>46777.22</v>
      </c>
      <c r="K37" s="8"/>
      <c r="L37" s="8">
        <v>46729.79</v>
      </c>
      <c r="M37" s="8">
        <v>53347.61</v>
      </c>
      <c r="N37" s="8"/>
      <c r="O37" s="8">
        <v>47938.45</v>
      </c>
      <c r="P37" s="8"/>
      <c r="Q37" s="8">
        <v>53647.83</v>
      </c>
    </row>
    <row r="38" spans="2:17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t="s">
        <v>20</v>
      </c>
      <c r="B39" s="8"/>
      <c r="C39" s="8"/>
      <c r="D39" s="8">
        <v>1765</v>
      </c>
      <c r="E39" s="8"/>
      <c r="F39" s="8"/>
      <c r="G39" s="8">
        <v>2760</v>
      </c>
      <c r="H39" s="8"/>
      <c r="I39" s="8"/>
      <c r="J39" s="8">
        <v>1560</v>
      </c>
      <c r="K39" s="8"/>
      <c r="L39" s="8"/>
      <c r="M39" s="8">
        <v>1215</v>
      </c>
      <c r="N39" s="8"/>
      <c r="O39" s="8"/>
      <c r="P39" s="8"/>
      <c r="Q39" s="8"/>
    </row>
    <row r="40" spans="1:17" ht="12.75">
      <c r="A40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1" customFormat="1" ht="12.75">
      <c r="A43" s="1" t="s">
        <v>15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" customFormat="1" ht="12.75">
      <c r="A44" s="1" t="s">
        <v>17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1" customFormat="1" ht="12.75">
      <c r="A45" s="1" t="s">
        <v>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2.75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ht="12.75">
      <c r="A49" s="2" t="s">
        <v>60</v>
      </c>
      <c r="B49" s="5">
        <f aca="true" t="shared" si="2" ref="B49:O49">SUM(B32:B48)</f>
        <v>0</v>
      </c>
      <c r="C49" s="5">
        <f t="shared" si="2"/>
        <v>894757.9999999999</v>
      </c>
      <c r="D49" s="5">
        <f t="shared" si="2"/>
        <v>2263757.56</v>
      </c>
      <c r="E49" s="5">
        <f t="shared" si="2"/>
        <v>0</v>
      </c>
      <c r="F49" s="5">
        <f t="shared" si="2"/>
        <v>1824693.1700000002</v>
      </c>
      <c r="G49" s="5">
        <f t="shared" si="2"/>
        <v>1752771.0000000002</v>
      </c>
      <c r="H49" s="5">
        <f t="shared" si="2"/>
        <v>0</v>
      </c>
      <c r="I49" s="5">
        <f t="shared" si="2"/>
        <v>1840692.9999999998</v>
      </c>
      <c r="J49" s="5">
        <f t="shared" si="2"/>
        <v>1838714.17</v>
      </c>
      <c r="K49" s="5">
        <f t="shared" si="2"/>
        <v>0</v>
      </c>
      <c r="L49" s="5">
        <f t="shared" si="2"/>
        <v>1895954.3</v>
      </c>
      <c r="M49" s="5">
        <f t="shared" si="2"/>
        <v>1845298.6700000002</v>
      </c>
      <c r="N49" s="5">
        <f t="shared" si="2"/>
        <v>0</v>
      </c>
      <c r="O49" s="5">
        <f t="shared" si="2"/>
        <v>1815032.3299999998</v>
      </c>
      <c r="P49" s="5">
        <f>SUM(P32:P48)</f>
        <v>0</v>
      </c>
      <c r="Q49" s="5">
        <f>SUM(Q32:Q48)</f>
        <v>1833554.35</v>
      </c>
    </row>
    <row r="51" spans="1:17" ht="13.5" thickBot="1">
      <c r="A51" s="12" t="s">
        <v>74</v>
      </c>
      <c r="B51" s="13">
        <f aca="true" t="shared" si="3" ref="B51:O51">+B30-B49</f>
        <v>35</v>
      </c>
      <c r="C51" s="13">
        <f t="shared" si="3"/>
        <v>0</v>
      </c>
      <c r="D51" s="13">
        <f t="shared" si="3"/>
        <v>0</v>
      </c>
      <c r="E51" s="13">
        <f t="shared" si="3"/>
        <v>37.57</v>
      </c>
      <c r="F51" s="13">
        <f t="shared" si="3"/>
        <v>0</v>
      </c>
      <c r="G51" s="13">
        <f t="shared" si="3"/>
        <v>0</v>
      </c>
      <c r="H51" s="13">
        <f t="shared" si="3"/>
        <v>38.07</v>
      </c>
      <c r="I51" s="13">
        <f t="shared" si="3"/>
        <v>0</v>
      </c>
      <c r="J51" s="13">
        <f t="shared" si="3"/>
        <v>0</v>
      </c>
      <c r="K51" s="13">
        <f t="shared" si="3"/>
        <v>27.57</v>
      </c>
      <c r="L51" s="13">
        <f t="shared" si="3"/>
        <v>0</v>
      </c>
      <c r="M51" s="13">
        <f t="shared" si="3"/>
        <v>0</v>
      </c>
      <c r="N51" s="13">
        <f>+N30-N49</f>
        <v>23.270000000000003</v>
      </c>
      <c r="O51" s="13">
        <f t="shared" si="3"/>
        <v>0</v>
      </c>
      <c r="P51" s="13">
        <f>+P30-P49</f>
        <v>22.42</v>
      </c>
      <c r="Q51" s="15">
        <f>+Q30-Q49</f>
        <v>0</v>
      </c>
    </row>
    <row r="53" ht="12.75">
      <c r="A53" t="s">
        <v>71</v>
      </c>
    </row>
    <row r="54" ht="12.75">
      <c r="A54" t="s">
        <v>72</v>
      </c>
    </row>
    <row r="55" spans="1:17" ht="12.75">
      <c r="A55" t="s">
        <v>73</v>
      </c>
      <c r="Q55" s="14"/>
    </row>
    <row r="57" ht="12.75">
      <c r="A57" t="s">
        <v>10</v>
      </c>
    </row>
    <row r="58" ht="12.75">
      <c r="A58" t="s">
        <v>78</v>
      </c>
    </row>
    <row r="59" ht="12.75">
      <c r="A59" t="s">
        <v>11</v>
      </c>
    </row>
    <row r="60" ht="12.75">
      <c r="A60" t="s">
        <v>12</v>
      </c>
    </row>
    <row r="61" ht="12.75">
      <c r="A61" t="s">
        <v>77</v>
      </c>
    </row>
    <row r="62" ht="12.75">
      <c r="A62" t="s">
        <v>84</v>
      </c>
    </row>
    <row r="63" ht="12.75">
      <c r="A63" t="s">
        <v>86</v>
      </c>
    </row>
    <row r="64" ht="12.75">
      <c r="A64" t="s">
        <v>87</v>
      </c>
    </row>
    <row r="65" ht="12.75">
      <c r="A65" t="s">
        <v>82</v>
      </c>
    </row>
    <row r="66" ht="12.75">
      <c r="A66" t="s">
        <v>83</v>
      </c>
    </row>
    <row r="67" ht="12.75">
      <c r="A67" t="s">
        <v>91</v>
      </c>
    </row>
    <row r="68" ht="12.75">
      <c r="A68" t="s">
        <v>92</v>
      </c>
    </row>
    <row r="69" ht="12.75">
      <c r="A69" t="s">
        <v>93</v>
      </c>
    </row>
    <row r="70" ht="12.75">
      <c r="A70" t="s">
        <v>94</v>
      </c>
    </row>
    <row r="71" ht="12.75">
      <c r="A71" t="s">
        <v>96</v>
      </c>
    </row>
  </sheetData>
  <printOptions horizontalCentered="1"/>
  <pageMargins left="0.25" right="0.25" top="1" bottom="1" header="0.5" footer="0.5"/>
  <pageSetup fitToHeight="1" fitToWidth="1" orientation="landscape" paperSize="5" scale="42"/>
  <headerFooter alignWithMargins="0">
    <oddHeader>&amp;C&amp;"Times New Roman,Bold"&amp;16Appendix E:  Madison Metropolitan School District
Fine Arts Financial Analysis - Music</oddHeader>
    <oddFooter>&amp;L&amp;"Times New Roman,Regular"&amp;Z&amp;F&amp;F&amp;A
&amp;R&amp;"Times New Roman,Regular"Appendix E,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pane xSplit="1" ySplit="2" topLeftCell="I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8" sqref="Q38"/>
    </sheetView>
  </sheetViews>
  <sheetFormatPr defaultColWidth="11.00390625" defaultRowHeight="12.75"/>
  <cols>
    <col min="1" max="1" width="36.625" style="0" customWidth="1"/>
    <col min="2" max="2" width="8.875" style="0" customWidth="1"/>
    <col min="3" max="4" width="13.75390625" style="0" bestFit="1" customWidth="1"/>
    <col min="5" max="5" width="8.25390625" style="0" customWidth="1"/>
    <col min="6" max="6" width="15.00390625" style="0" bestFit="1" customWidth="1"/>
    <col min="7" max="7" width="13.25390625" style="0" bestFit="1" customWidth="1"/>
    <col min="8" max="8" width="9.375" style="0" customWidth="1"/>
    <col min="9" max="10" width="15.375" style="0" bestFit="1" customWidth="1"/>
    <col min="11" max="11" width="8.75390625" style="0" customWidth="1"/>
    <col min="12" max="13" width="15.00390625" style="0" bestFit="1" customWidth="1"/>
    <col min="14" max="14" width="8.875" style="0" bestFit="1" customWidth="1"/>
    <col min="15" max="15" width="15.00390625" style="0" bestFit="1" customWidth="1"/>
    <col min="16" max="16" width="8.875" style="0" bestFit="1" customWidth="1"/>
    <col min="17" max="17" width="15.0039062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65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17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t="s">
        <v>37</v>
      </c>
      <c r="B6" s="8">
        <v>8.2</v>
      </c>
      <c r="C6" s="8">
        <v>578657</v>
      </c>
      <c r="D6" s="8">
        <f>120+(B6*64486)</f>
        <v>528905.2</v>
      </c>
      <c r="E6" s="8">
        <f>8.4+0.07</f>
        <v>8.47</v>
      </c>
      <c r="F6" s="8">
        <f>579597+276371+3516.5</f>
        <v>859484.5</v>
      </c>
      <c r="G6" s="6">
        <f>409187+175344+35180+116</f>
        <v>619827</v>
      </c>
      <c r="H6" s="6">
        <f>8.1+0.17</f>
        <v>8.27</v>
      </c>
      <c r="I6" s="8">
        <f>426906+212274+60911+6830.5</f>
        <v>706921.5</v>
      </c>
      <c r="J6" s="8">
        <f>444845+158078+60846+5062.17</f>
        <v>668831.17</v>
      </c>
      <c r="K6" s="8">
        <f>6.7+0.17</f>
        <v>6.87</v>
      </c>
      <c r="L6" s="8">
        <f>484817+167686+62644+5681.47</f>
        <v>720828.47</v>
      </c>
      <c r="M6" s="8">
        <f>473058+172732+62670+5170</f>
        <v>713630</v>
      </c>
      <c r="N6" s="8">
        <f>7.8+4.01+1+0.17</f>
        <v>12.979999999999999</v>
      </c>
      <c r="O6" s="8">
        <f>431906+178331+64668+6131.83</f>
        <v>681036.83</v>
      </c>
      <c r="P6" s="8">
        <f>7.8+4.01+1+0.17</f>
        <v>12.979999999999999</v>
      </c>
      <c r="Q6" s="9">
        <f>423669+205327+65804+6442.15</f>
        <v>701242.15</v>
      </c>
    </row>
    <row r="7" spans="1:17" ht="12.75">
      <c r="A7" t="s">
        <v>38</v>
      </c>
      <c r="B7" s="8"/>
      <c r="C7" s="8">
        <v>230227</v>
      </c>
      <c r="D7" s="8">
        <f>13.44+13.44+18.34</f>
        <v>45.22</v>
      </c>
      <c r="E7" s="8"/>
      <c r="F7" s="6">
        <f>209094+18076+3989.67</f>
        <v>231159.67</v>
      </c>
      <c r="G7" s="6">
        <f>175449+56852+16141</f>
        <v>248442</v>
      </c>
      <c r="H7" s="6"/>
      <c r="I7" s="8">
        <f>180717+67563+29768+2465.5</f>
        <v>280513.5</v>
      </c>
      <c r="J7" s="8">
        <f>195032+53784+30487+2021</f>
        <v>281324</v>
      </c>
      <c r="K7" s="8"/>
      <c r="L7" s="8">
        <f>216803+72646+32363+2172.83</f>
        <v>323984.83</v>
      </c>
      <c r="M7" s="8">
        <f>233300+70434+32422+1834.67</f>
        <v>337990.67</v>
      </c>
      <c r="N7" s="8"/>
      <c r="O7" s="8">
        <f>219277+72967+35344+2188.5</f>
        <v>329776.5</v>
      </c>
      <c r="P7" s="8"/>
      <c r="Q7" s="9">
        <f>25675+25675+32411+489+112982+4547+4138+12442+12442+15709+707+39433+3151+1994+3988+3988+5034+184+22390+896+639+2407.2</f>
        <v>331321.2</v>
      </c>
    </row>
    <row r="8" spans="2:17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2.75">
      <c r="A10" s="1" t="s">
        <v>62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</row>
    <row r="11" spans="1:17" s="1" customFormat="1" ht="12.75">
      <c r="A11" s="1" t="s">
        <v>37</v>
      </c>
      <c r="B11" s="8"/>
      <c r="C11" s="8"/>
      <c r="D11" s="8"/>
      <c r="E11" s="8"/>
      <c r="F11" s="8">
        <v>968</v>
      </c>
      <c r="G11" s="8">
        <v>0</v>
      </c>
      <c r="H11" s="8"/>
      <c r="I11" s="8"/>
      <c r="J11" s="9">
        <v>279</v>
      </c>
      <c r="K11" s="9"/>
      <c r="L11" s="8"/>
      <c r="M11" s="8">
        <v>142</v>
      </c>
      <c r="N11" s="8"/>
      <c r="O11" s="8"/>
      <c r="P11" s="8"/>
      <c r="Q11" s="8"/>
    </row>
    <row r="12" spans="1:17" s="1" customFormat="1" ht="12.75">
      <c r="A12" s="1" t="s">
        <v>38</v>
      </c>
      <c r="B12" s="8"/>
      <c r="C12" s="8"/>
      <c r="D12" s="8"/>
      <c r="E12" s="8"/>
      <c r="F12" s="8"/>
      <c r="G12" s="8"/>
      <c r="H12" s="8"/>
      <c r="I12" s="9"/>
      <c r="J12" s="9">
        <f>16+16+21</f>
        <v>53</v>
      </c>
      <c r="K12" s="9"/>
      <c r="L12" s="8"/>
      <c r="M12" s="8">
        <v>11</v>
      </c>
      <c r="N12" s="8"/>
      <c r="O12" s="8"/>
      <c r="P12" s="8"/>
      <c r="Q12" s="8"/>
    </row>
    <row r="13" spans="1:17" s="1" customFormat="1" ht="12.75">
      <c r="A13" s="1" t="s">
        <v>40</v>
      </c>
      <c r="B13" s="8"/>
      <c r="C13" s="8">
        <f>1900+350+439.6+1800</f>
        <v>4489.6</v>
      </c>
      <c r="D13" s="8">
        <f>1645+600+1030.62+1466.56</f>
        <v>4742.18</v>
      </c>
      <c r="E13" s="8"/>
      <c r="F13" s="8">
        <f>1572+550+350</f>
        <v>2472</v>
      </c>
      <c r="G13" s="8">
        <f>2777+1100+369</f>
        <v>4246</v>
      </c>
      <c r="H13" s="8"/>
      <c r="I13" s="11">
        <f>1572+1000+550+350</f>
        <v>3472</v>
      </c>
      <c r="J13" s="9">
        <f>158+1500+1515+1024</f>
        <v>4197</v>
      </c>
      <c r="K13" s="9"/>
      <c r="L13" s="8">
        <f>1637+1041+572+364</f>
        <v>3614</v>
      </c>
      <c r="M13" s="8">
        <f>2831+800+340</f>
        <v>3971</v>
      </c>
      <c r="N13" s="8"/>
      <c r="O13" s="8">
        <f>1659+1055+579+369</f>
        <v>3662</v>
      </c>
      <c r="P13" s="8"/>
      <c r="Q13" s="11">
        <f>1706+1085+595+379</f>
        <v>3765</v>
      </c>
    </row>
    <row r="14" spans="1:17" s="1" customFormat="1" ht="12.75">
      <c r="A14" s="1" t="s">
        <v>39</v>
      </c>
      <c r="B14" s="8"/>
      <c r="C14" s="8">
        <v>2025</v>
      </c>
      <c r="D14" s="8">
        <v>2124.77</v>
      </c>
      <c r="E14" s="8"/>
      <c r="F14" s="8">
        <f>1834+700</f>
        <v>2534</v>
      </c>
      <c r="G14" s="8">
        <f>986+648</f>
        <v>1634</v>
      </c>
      <c r="H14" s="8"/>
      <c r="I14" s="9">
        <f>734+750</f>
        <v>1484</v>
      </c>
      <c r="J14" s="9">
        <f>308+110</f>
        <v>418</v>
      </c>
      <c r="K14" s="9"/>
      <c r="L14" s="8">
        <f>764+780</f>
        <v>1544</v>
      </c>
      <c r="M14" s="8">
        <f>716+857</f>
        <v>1573</v>
      </c>
      <c r="N14" s="8"/>
      <c r="O14" s="8">
        <f>773+791</f>
        <v>1564</v>
      </c>
      <c r="P14" s="8"/>
      <c r="Q14" s="9">
        <f>795+812</f>
        <v>1607</v>
      </c>
    </row>
    <row r="15" spans="1:17" s="1" customFormat="1" ht="12.75">
      <c r="A15" s="1" t="s">
        <v>41</v>
      </c>
      <c r="B15" s="8"/>
      <c r="C15" s="8">
        <f>18374.8-2000-155</f>
        <v>16219.8</v>
      </c>
      <c r="D15" s="10">
        <f>16348.55-1172.72-55</f>
        <v>15120.83</v>
      </c>
      <c r="E15" s="10"/>
      <c r="F15" s="8">
        <f>9606+100</f>
        <v>9706</v>
      </c>
      <c r="G15" s="8">
        <f>10906+50+50+2903</f>
        <v>13909</v>
      </c>
      <c r="H15" s="8"/>
      <c r="I15" s="9">
        <f>9209+7360+200</f>
        <v>16769</v>
      </c>
      <c r="J15" s="9">
        <f>163+5566+411+12833</f>
        <v>18973</v>
      </c>
      <c r="K15" s="9"/>
      <c r="L15" s="8">
        <f>10129+7583+208</f>
        <v>17920</v>
      </c>
      <c r="M15" s="8">
        <f>10914+6109+36</f>
        <v>17059</v>
      </c>
      <c r="N15" s="8"/>
      <c r="O15" s="9">
        <f>9065+7562+211</f>
        <v>16838</v>
      </c>
      <c r="P15" s="8"/>
      <c r="Q15" s="9">
        <f>9318+7774+217</f>
        <v>17309</v>
      </c>
    </row>
    <row r="16" spans="1:17" s="1" customFormat="1" ht="12.75">
      <c r="A16" s="1" t="s">
        <v>42</v>
      </c>
      <c r="B16" s="8"/>
      <c r="C16" s="8"/>
      <c r="D16" s="8">
        <v>396</v>
      </c>
      <c r="E16" s="8"/>
      <c r="F16" s="8">
        <f>8300+200</f>
        <v>8500</v>
      </c>
      <c r="G16" s="8"/>
      <c r="H16" s="8"/>
      <c r="I16" s="9"/>
      <c r="J16" s="9">
        <f>1727</f>
        <v>1727</v>
      </c>
      <c r="K16" s="9"/>
      <c r="L16" s="8"/>
      <c r="M16" s="8"/>
      <c r="N16" s="8"/>
      <c r="O16" s="10"/>
      <c r="P16" s="8"/>
      <c r="Q16" s="11"/>
    </row>
    <row r="17" spans="1:17" s="1" customFormat="1" ht="12.75">
      <c r="A17" s="1" t="s">
        <v>43</v>
      </c>
      <c r="B17" s="8"/>
      <c r="C17" s="8">
        <v>130.2</v>
      </c>
      <c r="D17" s="8">
        <v>149</v>
      </c>
      <c r="E17" s="8"/>
      <c r="F17" s="8">
        <f>150</f>
        <v>150</v>
      </c>
      <c r="G17" s="8">
        <f>307+100</f>
        <v>407</v>
      </c>
      <c r="H17" s="8"/>
      <c r="I17" s="9">
        <f>300</f>
        <v>300</v>
      </c>
      <c r="J17" s="9">
        <f>783+246</f>
        <v>1029</v>
      </c>
      <c r="K17" s="9"/>
      <c r="L17" s="8">
        <v>312</v>
      </c>
      <c r="M17" s="8">
        <f>327+369</f>
        <v>696</v>
      </c>
      <c r="N17" s="8"/>
      <c r="O17" s="8"/>
      <c r="P17" s="8"/>
      <c r="Q17" s="9"/>
    </row>
    <row r="18" spans="1:17" s="1" customFormat="1" ht="12.75">
      <c r="A18" s="1" t="s">
        <v>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s="1" customFormat="1" ht="12.75">
      <c r="A19" s="1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s="1" customFormat="1" ht="12.75">
      <c r="A20" s="1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s="1" customFormat="1" ht="12.75">
      <c r="A21" s="1" t="s">
        <v>67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>
        <v>2056</v>
      </c>
    </row>
    <row r="22" spans="1:17" s="1" customFormat="1" ht="12.75">
      <c r="A22" s="1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1" customFormat="1" ht="12.75">
      <c r="A23" s="1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" customFormat="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t="s">
        <v>1</v>
      </c>
      <c r="B25" s="8"/>
      <c r="C25" s="8">
        <v>28236</v>
      </c>
      <c r="D25" s="8">
        <v>28834.29</v>
      </c>
      <c r="E25" s="8"/>
      <c r="F25" s="8">
        <v>19015</v>
      </c>
      <c r="G25" s="8">
        <v>22644</v>
      </c>
      <c r="H25" s="8"/>
      <c r="I25" s="8">
        <v>17543</v>
      </c>
      <c r="J25" s="8">
        <v>29065</v>
      </c>
      <c r="K25" s="8"/>
      <c r="L25" s="8">
        <v>18262</v>
      </c>
      <c r="M25" s="8">
        <v>25280</v>
      </c>
      <c r="N25" s="8"/>
      <c r="O25" s="8">
        <v>19300</v>
      </c>
      <c r="P25" s="8"/>
      <c r="Q25" s="8">
        <v>19839</v>
      </c>
    </row>
    <row r="26" spans="1:17" ht="12.75">
      <c r="A26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" t="s">
        <v>59</v>
      </c>
      <c r="B30" s="5">
        <f aca="true" t="shared" si="0" ref="B30:N30">SUM(B3:B29)</f>
        <v>8.2</v>
      </c>
      <c r="C30" s="5">
        <f t="shared" si="0"/>
        <v>859984.6</v>
      </c>
      <c r="D30" s="5">
        <f t="shared" si="0"/>
        <v>580317.49</v>
      </c>
      <c r="E30" s="5">
        <f t="shared" si="0"/>
        <v>8.47</v>
      </c>
      <c r="F30" s="5">
        <f t="shared" si="0"/>
        <v>1133989.17</v>
      </c>
      <c r="G30" s="5">
        <f t="shared" si="0"/>
        <v>911109</v>
      </c>
      <c r="H30" s="5">
        <f t="shared" si="0"/>
        <v>8.27</v>
      </c>
      <c r="I30" s="5">
        <f t="shared" si="0"/>
        <v>1027003</v>
      </c>
      <c r="J30" s="5">
        <f t="shared" si="0"/>
        <v>1005896.17</v>
      </c>
      <c r="K30" s="5">
        <f t="shared" si="0"/>
        <v>6.87</v>
      </c>
      <c r="L30" s="5">
        <f t="shared" si="0"/>
        <v>1086465.3</v>
      </c>
      <c r="M30" s="5">
        <f t="shared" si="0"/>
        <v>1100352.67</v>
      </c>
      <c r="N30" s="5">
        <f t="shared" si="0"/>
        <v>12.979999999999999</v>
      </c>
      <c r="O30" s="5">
        <f>SUM(O3:O29)</f>
        <v>1052177.33</v>
      </c>
      <c r="P30" s="5">
        <f>SUM(P3:P29)</f>
        <v>12.979999999999999</v>
      </c>
      <c r="Q30" s="5">
        <f>SUM(Q3:Q29)</f>
        <v>1077139.35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t="s">
        <v>57</v>
      </c>
      <c r="B35" s="8"/>
      <c r="C35" s="8">
        <v>192420.54</v>
      </c>
      <c r="D35" s="8">
        <v>129971.63</v>
      </c>
      <c r="E35" s="8"/>
      <c r="F35" s="8">
        <v>241976.84</v>
      </c>
      <c r="G35" s="8">
        <v>192104.38</v>
      </c>
      <c r="H35" s="8"/>
      <c r="I35" s="8">
        <v>248123.89</v>
      </c>
      <c r="J35" s="8">
        <v>242326.47</v>
      </c>
      <c r="K35" s="8"/>
      <c r="L35" s="8">
        <v>245714.8</v>
      </c>
      <c r="M35" s="8">
        <v>247472.81</v>
      </c>
      <c r="N35" s="8"/>
      <c r="O35" s="8">
        <v>231383.14</v>
      </c>
      <c r="P35" s="8"/>
      <c r="Q35" s="8">
        <v>246778.28</v>
      </c>
    </row>
    <row r="36" spans="1:17" ht="12.75">
      <c r="A36" t="s">
        <v>58</v>
      </c>
      <c r="B36" s="8"/>
      <c r="C36" s="8">
        <v>652672.37</v>
      </c>
      <c r="D36" s="8">
        <v>440689.95</v>
      </c>
      <c r="E36" s="8"/>
      <c r="F36" s="8">
        <v>871033.83</v>
      </c>
      <c r="G36" s="8">
        <v>691105.73</v>
      </c>
      <c r="H36" s="8"/>
      <c r="I36" s="8">
        <v>756006.11</v>
      </c>
      <c r="J36" s="8">
        <v>737957.79</v>
      </c>
      <c r="K36" s="8"/>
      <c r="L36" s="8">
        <v>813972.27</v>
      </c>
      <c r="M36" s="8">
        <v>821047.69</v>
      </c>
      <c r="N36" s="8"/>
      <c r="O36" s="8">
        <v>793004.19</v>
      </c>
      <c r="P36" s="8"/>
      <c r="Q36" s="8">
        <v>798845.13</v>
      </c>
    </row>
    <row r="37" spans="1:17" ht="12.75">
      <c r="A37" t="s">
        <v>7</v>
      </c>
      <c r="B37" s="8"/>
      <c r="C37" s="8">
        <v>14891.69</v>
      </c>
      <c r="D37" s="8">
        <v>9655.91</v>
      </c>
      <c r="E37" s="8"/>
      <c r="F37" s="8">
        <v>20978.5</v>
      </c>
      <c r="G37" s="8">
        <v>27898.89</v>
      </c>
      <c r="H37" s="8"/>
      <c r="I37" s="8">
        <v>22873</v>
      </c>
      <c r="J37" s="8">
        <v>25611.91</v>
      </c>
      <c r="K37" s="8"/>
      <c r="L37" s="8">
        <v>26778.23</v>
      </c>
      <c r="M37" s="8">
        <v>31832.17</v>
      </c>
      <c r="N37" s="8"/>
      <c r="O37" s="8">
        <v>27790</v>
      </c>
      <c r="P37" s="8"/>
      <c r="Q37" s="8">
        <v>31515.94</v>
      </c>
    </row>
    <row r="38" spans="2:17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1" customFormat="1" ht="12.75">
      <c r="A43" s="1" t="s">
        <v>15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" customFormat="1" ht="12.75">
      <c r="A44" s="1" t="s">
        <v>17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1" customFormat="1" ht="12.75">
      <c r="A45" s="1" t="s">
        <v>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2.75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ht="12.75">
      <c r="A49" s="2" t="s">
        <v>60</v>
      </c>
      <c r="B49" s="5">
        <f aca="true" t="shared" si="1" ref="B49:O49">SUM(B32:B48)</f>
        <v>0</v>
      </c>
      <c r="C49" s="5">
        <f t="shared" si="1"/>
        <v>859984.6</v>
      </c>
      <c r="D49" s="5">
        <f t="shared" si="1"/>
        <v>580317.4900000001</v>
      </c>
      <c r="E49" s="5">
        <f t="shared" si="1"/>
        <v>0</v>
      </c>
      <c r="F49" s="5">
        <f t="shared" si="1"/>
        <v>1133989.17</v>
      </c>
      <c r="G49" s="5">
        <f t="shared" si="1"/>
        <v>911109</v>
      </c>
      <c r="H49" s="5">
        <f t="shared" si="1"/>
        <v>0</v>
      </c>
      <c r="I49" s="5">
        <f t="shared" si="1"/>
        <v>1027003</v>
      </c>
      <c r="J49" s="5">
        <f t="shared" si="1"/>
        <v>1005896.17</v>
      </c>
      <c r="K49" s="5">
        <f t="shared" si="1"/>
        <v>0</v>
      </c>
      <c r="L49" s="5">
        <f t="shared" si="1"/>
        <v>1086465.3</v>
      </c>
      <c r="M49" s="5">
        <f t="shared" si="1"/>
        <v>1100352.67</v>
      </c>
      <c r="N49" s="5">
        <f t="shared" si="1"/>
        <v>0</v>
      </c>
      <c r="O49" s="5">
        <f t="shared" si="1"/>
        <v>1052177.33</v>
      </c>
      <c r="P49" s="5">
        <f>SUM(P32:P48)</f>
        <v>0</v>
      </c>
      <c r="Q49" s="5">
        <f>SUM(Q32:Q48)</f>
        <v>1077139.35</v>
      </c>
    </row>
    <row r="51" spans="1:17" ht="13.5" thickBot="1">
      <c r="A51" s="12" t="s">
        <v>74</v>
      </c>
      <c r="B51" s="13">
        <f aca="true" t="shared" si="2" ref="B51:O51">+B30-B49</f>
        <v>8.2</v>
      </c>
      <c r="C51" s="13">
        <f t="shared" si="2"/>
        <v>0</v>
      </c>
      <c r="D51" s="13">
        <f t="shared" si="2"/>
        <v>0</v>
      </c>
      <c r="E51" s="13">
        <f t="shared" si="2"/>
        <v>8.47</v>
      </c>
      <c r="F51" s="13">
        <f t="shared" si="2"/>
        <v>0</v>
      </c>
      <c r="G51" s="13">
        <f t="shared" si="2"/>
        <v>0</v>
      </c>
      <c r="H51" s="13">
        <f t="shared" si="2"/>
        <v>8.27</v>
      </c>
      <c r="I51" s="13">
        <f t="shared" si="2"/>
        <v>0</v>
      </c>
      <c r="J51" s="13">
        <f t="shared" si="2"/>
        <v>0</v>
      </c>
      <c r="K51" s="13">
        <f t="shared" si="2"/>
        <v>6.87</v>
      </c>
      <c r="L51" s="13">
        <f t="shared" si="2"/>
        <v>0</v>
      </c>
      <c r="M51" s="13">
        <f t="shared" si="2"/>
        <v>0</v>
      </c>
      <c r="N51" s="13">
        <f>+N30-N49</f>
        <v>12.979999999999999</v>
      </c>
      <c r="O51" s="13">
        <f t="shared" si="2"/>
        <v>0</v>
      </c>
      <c r="P51" s="13">
        <f>+P30-P49</f>
        <v>12.979999999999999</v>
      </c>
      <c r="Q51" s="13">
        <f>+Q30-Q49</f>
        <v>0</v>
      </c>
    </row>
    <row r="53" ht="12.75">
      <c r="A53" t="s">
        <v>71</v>
      </c>
    </row>
    <row r="54" spans="1:17" ht="12.75">
      <c r="A54" t="s">
        <v>72</v>
      </c>
      <c r="Q54" s="14"/>
    </row>
    <row r="55" ht="12.75">
      <c r="A55" t="s">
        <v>73</v>
      </c>
    </row>
    <row r="57" ht="12.75">
      <c r="A57" t="s">
        <v>10</v>
      </c>
    </row>
    <row r="58" ht="12.75">
      <c r="A58" t="s">
        <v>11</v>
      </c>
    </row>
    <row r="59" ht="12.75">
      <c r="A59" t="s">
        <v>79</v>
      </c>
    </row>
    <row r="60" ht="12.75">
      <c r="A60" t="s">
        <v>85</v>
      </c>
    </row>
    <row r="61" ht="12.75">
      <c r="A61" t="s">
        <v>81</v>
      </c>
    </row>
    <row r="62" ht="12.75">
      <c r="A62" t="s">
        <v>91</v>
      </c>
    </row>
    <row r="63" ht="12.75">
      <c r="A63" t="s">
        <v>95</v>
      </c>
    </row>
    <row r="64" ht="12.75">
      <c r="A64" t="s">
        <v>92</v>
      </c>
    </row>
    <row r="65" ht="12.75">
      <c r="A65" t="s">
        <v>75</v>
      </c>
    </row>
    <row r="66" ht="12.75">
      <c r="A66" t="s">
        <v>96</v>
      </c>
    </row>
    <row r="67" ht="12.75">
      <c r="A67" t="s">
        <v>13</v>
      </c>
    </row>
  </sheetData>
  <printOptions horizontalCentered="1"/>
  <pageMargins left="0.25" right="0.25" top="1" bottom="1" header="0.5" footer="0.5"/>
  <pageSetup fitToHeight="1" fitToWidth="1" orientation="landscape" paperSize="5" scale="44"/>
  <headerFooter alignWithMargins="0">
    <oddHeader xml:space="preserve">&amp;C&amp;"Times New Roman,Bold"&amp;16Appendix E:  Madison Metropolitan School District
Fine Arts Financial Analysis - Vocal </oddHeader>
    <oddFooter>&amp;L&amp;"Times New Roman,Regular"&amp;Z&amp;F&amp;F&amp;A
&amp;R&amp;"Times New Roman,Regular"Appendix E,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pane xSplit="1" ySplit="2" topLeftCell="H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8" sqref="Q38"/>
    </sheetView>
  </sheetViews>
  <sheetFormatPr defaultColWidth="11.00390625" defaultRowHeight="12.75"/>
  <cols>
    <col min="1" max="1" width="36.625" style="0" customWidth="1"/>
    <col min="2" max="2" width="9.625" style="0" customWidth="1"/>
    <col min="3" max="4" width="13.75390625" style="0" bestFit="1" customWidth="1"/>
    <col min="5" max="5" width="9.375" style="0" customWidth="1"/>
    <col min="6" max="6" width="15.375" style="0" bestFit="1" customWidth="1"/>
    <col min="7" max="7" width="13.75390625" style="0" bestFit="1" customWidth="1"/>
    <col min="8" max="8" width="8.375" style="0" customWidth="1"/>
    <col min="9" max="10" width="13.75390625" style="0" customWidth="1"/>
    <col min="11" max="11" width="10.00390625" style="0" customWidth="1"/>
    <col min="12" max="12" width="13.75390625" style="0" customWidth="1"/>
    <col min="13" max="13" width="13.75390625" style="0" bestFit="1" customWidth="1"/>
    <col min="14" max="14" width="8.875" style="0" bestFit="1" customWidth="1"/>
    <col min="15" max="15" width="15.00390625" style="0" bestFit="1" customWidth="1"/>
    <col min="16" max="16" width="8.875" style="0" bestFit="1" customWidth="1"/>
    <col min="17" max="17" width="15.0039062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63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17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t="s">
        <v>37</v>
      </c>
      <c r="B6" s="8">
        <v>9.6</v>
      </c>
      <c r="C6" s="8">
        <f>+B6*64486</f>
        <v>619065.6</v>
      </c>
      <c r="D6" s="8">
        <f>+B6*64486</f>
        <v>619065.6</v>
      </c>
      <c r="E6" s="8">
        <f>9+0.07</f>
        <v>9.07</v>
      </c>
      <c r="F6" s="10">
        <f>863229+225934+3516.5</f>
        <v>1092679.5</v>
      </c>
      <c r="G6" s="8">
        <f>447063+154585</f>
        <v>601648</v>
      </c>
      <c r="H6" s="8">
        <f>8.3+0.17</f>
        <v>8.47</v>
      </c>
      <c r="I6" s="8">
        <f>366744+177561+6830.5</f>
        <v>551135.5</v>
      </c>
      <c r="J6" s="8">
        <f>404133+185098+5062.17</f>
        <v>594293.17</v>
      </c>
      <c r="K6" s="8">
        <f>8.5+0.17</f>
        <v>8.67</v>
      </c>
      <c r="L6" s="8">
        <f>394059+219279+5681.47</f>
        <v>619019.47</v>
      </c>
      <c r="M6" s="8">
        <f>398853+221000+875+5170</f>
        <v>625898</v>
      </c>
      <c r="N6" s="8">
        <f>8.3+0.17+2.9</f>
        <v>11.370000000000001</v>
      </c>
      <c r="O6" s="8">
        <f>436035+226427+6131.83</f>
        <v>668593.83</v>
      </c>
      <c r="P6" s="10">
        <f>9.16+2.9+0.17</f>
        <v>12.23</v>
      </c>
      <c r="Q6" s="8">
        <f>454018+192621+6442.15</f>
        <v>653081.15</v>
      </c>
    </row>
    <row r="7" spans="1:17" ht="12.75">
      <c r="A7" t="s">
        <v>38</v>
      </c>
      <c r="B7" s="8"/>
      <c r="C7" s="8"/>
      <c r="D7" s="8"/>
      <c r="E7" s="8"/>
      <c r="F7" s="8">
        <f>200630+67655+3989.67</f>
        <v>272274.67</v>
      </c>
      <c r="G7" s="8">
        <f>177473+46479</f>
        <v>223952</v>
      </c>
      <c r="H7" s="8"/>
      <c r="I7" s="8">
        <f>159151+60314+2465.5</f>
        <v>221930.5</v>
      </c>
      <c r="J7" s="8">
        <f>169053+84668+2021</f>
        <v>255742</v>
      </c>
      <c r="K7" s="8"/>
      <c r="L7" s="8">
        <f>183540+85691+2172.83</f>
        <v>271403.83</v>
      </c>
      <c r="M7" s="8">
        <f>168069+96068+52+52+65+1+166+7+6+1834.67</f>
        <v>266320.67</v>
      </c>
      <c r="N7" s="8"/>
      <c r="O7" s="8">
        <f>189075+102214+2188.5</f>
        <v>293477.5</v>
      </c>
      <c r="P7" s="8"/>
      <c r="Q7" s="8">
        <f>27512+27512+34734+331+68339+5543+4406+11672+11672+14736+479+51078+2047+1870+2407.2</f>
        <v>264338.2</v>
      </c>
    </row>
    <row r="8" spans="2:17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2.75">
      <c r="A10" s="1" t="s">
        <v>62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</row>
    <row r="11" spans="1:17" s="1" customFormat="1" ht="12.75">
      <c r="A11" s="1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>499</f>
        <v>499</v>
      </c>
      <c r="N11" s="8"/>
      <c r="O11" s="8"/>
      <c r="P11" s="8"/>
      <c r="Q11" s="8"/>
    </row>
    <row r="12" spans="1:17" s="1" customFormat="1" ht="12.75">
      <c r="A12" s="1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f>28+28+19</f>
        <v>75</v>
      </c>
      <c r="N12" s="8"/>
      <c r="O12" s="8"/>
      <c r="P12" s="8"/>
      <c r="Q12" s="8"/>
    </row>
    <row r="13" spans="1:17" s="1" customFormat="1" ht="12.75">
      <c r="A13" s="1" t="s">
        <v>40</v>
      </c>
      <c r="B13" s="8"/>
      <c r="C13" s="8">
        <v>4619.8</v>
      </c>
      <c r="D13" s="8">
        <v>1551.65</v>
      </c>
      <c r="E13" s="8"/>
      <c r="F13" s="8">
        <f>1300+300+700+50</f>
        <v>2350</v>
      </c>
      <c r="G13" s="8">
        <f>1000+200+865</f>
        <v>2065</v>
      </c>
      <c r="H13" s="8"/>
      <c r="I13" s="8">
        <f>1300+300+1600+50</f>
        <v>3250</v>
      </c>
      <c r="J13" s="8">
        <f>1000+1135</f>
        <v>2135</v>
      </c>
      <c r="K13" s="8"/>
      <c r="L13" s="8">
        <f>1353+312+1666+52</f>
        <v>3383</v>
      </c>
      <c r="M13" s="8">
        <f>615+1200+1193</f>
        <v>3008</v>
      </c>
      <c r="N13" s="8"/>
      <c r="O13" s="8">
        <f>844+1371+316+1688+53</f>
        <v>4272</v>
      </c>
      <c r="P13" s="8"/>
      <c r="Q13" s="8">
        <f>1410+325+54+1736</f>
        <v>3525</v>
      </c>
    </row>
    <row r="14" spans="1:17" s="1" customFormat="1" ht="12.75">
      <c r="A14" s="1" t="s">
        <v>39</v>
      </c>
      <c r="B14" s="8"/>
      <c r="C14" s="8">
        <f>30016.73-3000-691.73</f>
        <v>26325</v>
      </c>
      <c r="D14" s="8">
        <v>23804.61</v>
      </c>
      <c r="E14" s="8"/>
      <c r="F14" s="8">
        <f>19200+5750</f>
        <v>24950</v>
      </c>
      <c r="G14" s="8">
        <f>444+19595+8155</f>
        <v>28194</v>
      </c>
      <c r="H14" s="8"/>
      <c r="I14" s="8">
        <f>800+16905+6500</f>
        <v>24205</v>
      </c>
      <c r="J14" s="8">
        <f>724+16190+8783</f>
        <v>25697</v>
      </c>
      <c r="K14" s="8"/>
      <c r="L14" s="8">
        <f>833+17399+6767</f>
        <v>24999</v>
      </c>
      <c r="M14" s="8">
        <f>18163+9728</f>
        <v>27891</v>
      </c>
      <c r="N14" s="8"/>
      <c r="O14" s="8">
        <f>17828+6854</f>
        <v>24682</v>
      </c>
      <c r="P14" s="8"/>
      <c r="Q14" s="8">
        <f>18326+7045+868</f>
        <v>26239</v>
      </c>
    </row>
    <row r="15" spans="1:17" s="1" customFormat="1" ht="12.75">
      <c r="A15" s="1" t="s">
        <v>41</v>
      </c>
      <c r="B15" s="8"/>
      <c r="C15" s="8">
        <f>21038.86+1500</f>
        <v>22538.86</v>
      </c>
      <c r="D15" s="8">
        <v>24032.14</v>
      </c>
      <c r="E15" s="8"/>
      <c r="F15" s="8">
        <f>9527+9643+50+800+100+1675</f>
        <v>21795</v>
      </c>
      <c r="G15" s="8">
        <f>956+498+9249+8353+554</f>
        <v>19610</v>
      </c>
      <c r="H15" s="8"/>
      <c r="I15" s="8">
        <f>11917+8975+50+510+100+1375</f>
        <v>22927</v>
      </c>
      <c r="J15" s="8">
        <f>14121+10712+518+120</f>
        <v>25471</v>
      </c>
      <c r="K15" s="8"/>
      <c r="L15" s="8">
        <f>11469+9264+52+531+104+1431</f>
        <v>22851</v>
      </c>
      <c r="M15" s="8">
        <f>9038+8906+507+542</f>
        <v>18993</v>
      </c>
      <c r="N15" s="8"/>
      <c r="O15" s="8">
        <f>11513+8368+53+538+105+1449</f>
        <v>22026</v>
      </c>
      <c r="P15" s="8"/>
      <c r="Q15" s="8">
        <f>11833+8602+54+553+108+1489</f>
        <v>22639</v>
      </c>
    </row>
    <row r="16" spans="1:17" s="1" customFormat="1" ht="12.75">
      <c r="A16" s="1" t="s">
        <v>42</v>
      </c>
      <c r="B16" s="8"/>
      <c r="C16" s="8">
        <v>1344.8</v>
      </c>
      <c r="D16" s="8">
        <v>1472.5</v>
      </c>
      <c r="E16" s="8"/>
      <c r="F16" s="8">
        <f>650+1100</f>
        <v>1750</v>
      </c>
      <c r="G16" s="8">
        <f>740+1234</f>
        <v>1974</v>
      </c>
      <c r="H16" s="8"/>
      <c r="I16" s="8">
        <f>1100</f>
        <v>1100</v>
      </c>
      <c r="J16" s="8">
        <v>1385</v>
      </c>
      <c r="K16" s="8"/>
      <c r="L16" s="8">
        <f>200+1145</f>
        <v>1345</v>
      </c>
      <c r="M16" s="8">
        <f>124+2000+1083</f>
        <v>3207</v>
      </c>
      <c r="N16" s="8"/>
      <c r="O16" s="10"/>
      <c r="P16" s="8"/>
      <c r="Q16" s="10"/>
    </row>
    <row r="17" spans="1:17" s="1" customFormat="1" ht="12.75">
      <c r="A17" s="1" t="s">
        <v>43</v>
      </c>
      <c r="B17" s="8"/>
      <c r="C17" s="8">
        <f>130.2+420+300</f>
        <v>850.2</v>
      </c>
      <c r="D17" s="8">
        <f>148+320+176</f>
        <v>644</v>
      </c>
      <c r="E17" s="8"/>
      <c r="F17" s="8">
        <f>150+300</f>
        <v>450</v>
      </c>
      <c r="G17" s="8">
        <f>753+238</f>
        <v>991</v>
      </c>
      <c r="H17" s="8"/>
      <c r="I17" s="8">
        <f>350+300</f>
        <v>650</v>
      </c>
      <c r="J17" s="8">
        <f>158+96</f>
        <v>254</v>
      </c>
      <c r="K17" s="8"/>
      <c r="L17" s="8">
        <f>364+312</f>
        <v>676</v>
      </c>
      <c r="M17" s="8">
        <f>326+175</f>
        <v>501</v>
      </c>
      <c r="N17" s="8"/>
      <c r="O17" s="8"/>
      <c r="P17" s="8"/>
      <c r="Q17" s="8"/>
    </row>
    <row r="18" spans="1:17" s="1" customFormat="1" ht="12.75">
      <c r="A18" s="1" t="s">
        <v>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2.75">
      <c r="A19" s="1" t="s">
        <v>50</v>
      </c>
      <c r="B19" s="8"/>
      <c r="C19" s="8"/>
      <c r="D19" s="8"/>
      <c r="E19" s="8"/>
      <c r="F19" s="8"/>
      <c r="G19" s="8">
        <v>430</v>
      </c>
      <c r="H19" s="8"/>
      <c r="I19" s="8">
        <f>470</f>
        <v>470</v>
      </c>
      <c r="J19" s="8"/>
      <c r="K19" s="8"/>
      <c r="L19" s="8"/>
      <c r="M19" s="8">
        <v>299</v>
      </c>
      <c r="N19" s="8"/>
      <c r="O19" s="8">
        <v>507</v>
      </c>
      <c r="P19" s="8"/>
      <c r="Q19" s="8"/>
    </row>
    <row r="20" spans="1:17" s="1" customFormat="1" ht="12.75">
      <c r="A20" s="1" t="s">
        <v>51</v>
      </c>
      <c r="B20" s="8"/>
      <c r="C20" s="8">
        <v>15832.96</v>
      </c>
      <c r="D20" s="8">
        <v>18297.26</v>
      </c>
      <c r="E20" s="8"/>
      <c r="F20" s="8">
        <v>16557</v>
      </c>
      <c r="G20" s="8">
        <v>15427</v>
      </c>
      <c r="H20" s="8"/>
      <c r="I20" s="8">
        <f>17325-11175.84</f>
        <v>6149.16</v>
      </c>
      <c r="J20" s="8">
        <f>10228</f>
        <v>10228</v>
      </c>
      <c r="K20" s="8"/>
      <c r="L20" s="8"/>
      <c r="M20" s="8">
        <f>6046-6046</f>
        <v>0</v>
      </c>
      <c r="N20" s="8"/>
      <c r="O20" s="8">
        <f>10816-9296.5</f>
        <v>1519.5</v>
      </c>
      <c r="P20" s="8"/>
      <c r="Q20" s="8">
        <v>1028</v>
      </c>
    </row>
    <row r="21" spans="1:17" s="1" customFormat="1" ht="12.75">
      <c r="A21" s="1" t="s">
        <v>67</v>
      </c>
      <c r="B21" s="8"/>
      <c r="C21" s="8">
        <f>6760+10920</f>
        <v>17680</v>
      </c>
      <c r="D21" s="8">
        <v>8765.5</v>
      </c>
      <c r="E21" s="8"/>
      <c r="F21" s="8">
        <f>6000+11767</f>
        <v>17767</v>
      </c>
      <c r="G21" s="8">
        <f>682+4835</f>
        <v>5517</v>
      </c>
      <c r="H21" s="8"/>
      <c r="I21" s="8">
        <f>2820+11000+2820-8049.5-692.82</f>
        <v>7897.68</v>
      </c>
      <c r="J21" s="8">
        <f>731+7316+289+1143-692.82</f>
        <v>8786.18</v>
      </c>
      <c r="K21" s="8"/>
      <c r="L21" s="8">
        <f>2936+2936-2063.1</f>
        <v>3808.9</v>
      </c>
      <c r="M21" s="8">
        <v>1267</v>
      </c>
      <c r="N21" s="8"/>
      <c r="O21" s="8">
        <f>6376+1013+1013+1520-4350</f>
        <v>5572</v>
      </c>
      <c r="P21" s="8"/>
      <c r="Q21" s="8">
        <v>3084</v>
      </c>
    </row>
    <row r="22" spans="1:17" s="1" customFormat="1" ht="12.75">
      <c r="A22" s="1" t="s">
        <v>52</v>
      </c>
      <c r="B22" s="8"/>
      <c r="C22" s="8">
        <f>9360+9152+54080+7488</f>
        <v>80080</v>
      </c>
      <c r="D22" s="8">
        <f>8424+17757.54+44717.1+11490</f>
        <v>82388.64</v>
      </c>
      <c r="E22" s="8"/>
      <c r="F22" s="8">
        <v>800</v>
      </c>
      <c r="G22" s="8">
        <v>684</v>
      </c>
      <c r="H22" s="8"/>
      <c r="I22" s="8">
        <f>752</f>
        <v>752</v>
      </c>
      <c r="J22" s="8"/>
      <c r="K22" s="8"/>
      <c r="L22" s="8"/>
      <c r="M22" s="8">
        <f>2084+761</f>
        <v>2845</v>
      </c>
      <c r="N22" s="8"/>
      <c r="O22" s="8"/>
      <c r="P22" s="8"/>
      <c r="Q22" s="8"/>
    </row>
    <row r="23" spans="1:17" s="1" customFormat="1" ht="12.75">
      <c r="A23" s="1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" customFormat="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t="s">
        <v>0</v>
      </c>
      <c r="B25" s="8"/>
      <c r="C25" s="8">
        <v>0</v>
      </c>
      <c r="D25" s="8">
        <v>0</v>
      </c>
      <c r="E25" s="8"/>
      <c r="F25" s="8"/>
      <c r="G25" s="8">
        <v>2444</v>
      </c>
      <c r="H25" s="8"/>
      <c r="I25" s="8">
        <v>0</v>
      </c>
      <c r="J25" s="8">
        <v>16818</v>
      </c>
      <c r="K25" s="8"/>
      <c r="L25" s="8">
        <v>0</v>
      </c>
      <c r="M25" s="8">
        <v>17577</v>
      </c>
      <c r="N25" s="8"/>
      <c r="O25" s="8">
        <v>4528</v>
      </c>
      <c r="P25" s="8"/>
      <c r="Q25" s="8">
        <v>0</v>
      </c>
    </row>
    <row r="26" spans="1:17" ht="12.75">
      <c r="A26" t="s">
        <v>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" t="s">
        <v>59</v>
      </c>
      <c r="B30" s="5">
        <f aca="true" t="shared" si="0" ref="B30:N30">SUM(B3:B29)</f>
        <v>9.6</v>
      </c>
      <c r="C30" s="5">
        <f t="shared" si="0"/>
        <v>788337.22</v>
      </c>
      <c r="D30" s="5">
        <f t="shared" si="0"/>
        <v>780021.9</v>
      </c>
      <c r="E30" s="5">
        <f t="shared" si="0"/>
        <v>9.07</v>
      </c>
      <c r="F30" s="5">
        <f t="shared" si="0"/>
        <v>1451373.17</v>
      </c>
      <c r="G30" s="5">
        <f t="shared" si="0"/>
        <v>902936</v>
      </c>
      <c r="H30" s="5">
        <f t="shared" si="0"/>
        <v>8.47</v>
      </c>
      <c r="I30" s="5">
        <f t="shared" si="0"/>
        <v>840466.8400000001</v>
      </c>
      <c r="J30" s="5">
        <f t="shared" si="0"/>
        <v>940809.3500000001</v>
      </c>
      <c r="K30" s="5">
        <f t="shared" si="0"/>
        <v>8.67</v>
      </c>
      <c r="L30" s="5">
        <f t="shared" si="0"/>
        <v>947486.2000000001</v>
      </c>
      <c r="M30" s="5">
        <f t="shared" si="0"/>
        <v>968380.6699999999</v>
      </c>
      <c r="N30" s="5">
        <f t="shared" si="0"/>
        <v>11.370000000000001</v>
      </c>
      <c r="O30" s="5">
        <f>SUM(O3:O29)</f>
        <v>1025177.83</v>
      </c>
      <c r="P30" s="5">
        <f>SUM(P3:P29)</f>
        <v>12.23</v>
      </c>
      <c r="Q30" s="5">
        <f>SUM(Q3:Q29)</f>
        <v>973934.3500000001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t="s">
        <v>57</v>
      </c>
      <c r="B35" s="8"/>
      <c r="C35" s="8">
        <v>165202.09</v>
      </c>
      <c r="D35" s="8">
        <v>164824.03</v>
      </c>
      <c r="E35" s="8"/>
      <c r="F35" s="8">
        <v>299032.71</v>
      </c>
      <c r="G35" s="8">
        <v>180767.57</v>
      </c>
      <c r="H35" s="8"/>
      <c r="I35" s="8">
        <v>190976.76</v>
      </c>
      <c r="J35" s="8">
        <v>216897.43</v>
      </c>
      <c r="K35" s="8"/>
      <c r="L35" s="8">
        <v>202975.32</v>
      </c>
      <c r="M35" s="8">
        <v>208133.2</v>
      </c>
      <c r="N35" s="8"/>
      <c r="O35" s="8">
        <v>214450.26</v>
      </c>
      <c r="P35" s="8"/>
      <c r="Q35" s="8">
        <v>213271.87</v>
      </c>
    </row>
    <row r="36" spans="1:17" ht="12.75">
      <c r="A36" t="s">
        <v>58</v>
      </c>
      <c r="B36" s="8"/>
      <c r="C36" s="8">
        <v>560349.91</v>
      </c>
      <c r="D36" s="8">
        <v>558862.69</v>
      </c>
      <c r="E36" s="8"/>
      <c r="F36" s="8">
        <v>1076415.43</v>
      </c>
      <c r="G36" s="8">
        <v>650320.96</v>
      </c>
      <c r="H36" s="8"/>
      <c r="I36" s="8">
        <v>581885.12</v>
      </c>
      <c r="J36" s="8">
        <v>660518.65</v>
      </c>
      <c r="K36" s="8"/>
      <c r="L36" s="8">
        <v>672390.44</v>
      </c>
      <c r="M36" s="8">
        <v>690529.52</v>
      </c>
      <c r="N36" s="8"/>
      <c r="O36" s="8">
        <v>734971.27</v>
      </c>
      <c r="P36" s="8"/>
      <c r="Q36" s="8">
        <v>690381.63</v>
      </c>
    </row>
    <row r="37" spans="1:17" ht="12.75">
      <c r="A37" t="s">
        <v>7</v>
      </c>
      <c r="B37" s="8"/>
      <c r="C37" s="8">
        <v>12785.22</v>
      </c>
      <c r="D37" s="8">
        <v>12245.18</v>
      </c>
      <c r="E37" s="8"/>
      <c r="F37" s="8">
        <v>25925.03</v>
      </c>
      <c r="G37" s="8">
        <v>26252.47</v>
      </c>
      <c r="H37" s="8"/>
      <c r="I37" s="8">
        <v>17604.96</v>
      </c>
      <c r="J37" s="8">
        <v>22924.27</v>
      </c>
      <c r="K37" s="8"/>
      <c r="L37" s="8">
        <v>22120.44</v>
      </c>
      <c r="M37" s="8">
        <v>26771.95</v>
      </c>
      <c r="N37" s="8"/>
      <c r="O37" s="8">
        <v>25756.3</v>
      </c>
      <c r="P37" s="8"/>
      <c r="Q37" s="8">
        <v>27236.85</v>
      </c>
    </row>
    <row r="38" spans="2:17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t="s">
        <v>19</v>
      </c>
      <c r="B40" s="8"/>
      <c r="C40" s="8">
        <v>50000</v>
      </c>
      <c r="D40" s="8">
        <v>44090</v>
      </c>
      <c r="E40" s="8"/>
      <c r="F40" s="8">
        <v>50000</v>
      </c>
      <c r="G40" s="8">
        <v>45595</v>
      </c>
      <c r="H40" s="8"/>
      <c r="I40" s="8">
        <v>50000</v>
      </c>
      <c r="J40" s="8">
        <v>40469</v>
      </c>
      <c r="K40" s="8"/>
      <c r="L40" s="8">
        <v>50000</v>
      </c>
      <c r="M40" s="8">
        <v>42946</v>
      </c>
      <c r="N40" s="8"/>
      <c r="O40" s="8">
        <v>50000</v>
      </c>
      <c r="P40" s="8"/>
      <c r="Q40" s="8">
        <f>98+31221+11725</f>
        <v>43044</v>
      </c>
    </row>
    <row r="41" spans="1:17" ht="12.75">
      <c r="A4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1" customFormat="1" ht="12.75">
      <c r="A43" s="1" t="s">
        <v>15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" customFormat="1" ht="12.75">
      <c r="A44" s="1" t="s">
        <v>17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1" customFormat="1" ht="12.75">
      <c r="A45" s="1" t="s">
        <v>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2.75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ht="12.75">
      <c r="A49" s="2" t="s">
        <v>60</v>
      </c>
      <c r="B49" s="5">
        <f aca="true" t="shared" si="1" ref="B49:O49">SUM(B32:B48)</f>
        <v>0</v>
      </c>
      <c r="C49" s="5">
        <f t="shared" si="1"/>
        <v>788337.22</v>
      </c>
      <c r="D49" s="5">
        <f t="shared" si="1"/>
        <v>780021.9</v>
      </c>
      <c r="E49" s="5">
        <f t="shared" si="1"/>
        <v>0</v>
      </c>
      <c r="F49" s="5">
        <f t="shared" si="1"/>
        <v>1451373.17</v>
      </c>
      <c r="G49" s="5">
        <f t="shared" si="1"/>
        <v>902936</v>
      </c>
      <c r="H49" s="5">
        <f t="shared" si="1"/>
        <v>0</v>
      </c>
      <c r="I49" s="5">
        <f t="shared" si="1"/>
        <v>840466.84</v>
      </c>
      <c r="J49" s="5">
        <f t="shared" si="1"/>
        <v>940809.3500000001</v>
      </c>
      <c r="K49" s="5">
        <f t="shared" si="1"/>
        <v>0</v>
      </c>
      <c r="L49" s="5">
        <f t="shared" si="1"/>
        <v>947486.2</v>
      </c>
      <c r="M49" s="5">
        <f t="shared" si="1"/>
        <v>968380.6699999999</v>
      </c>
      <c r="N49" s="5">
        <f t="shared" si="1"/>
        <v>0</v>
      </c>
      <c r="O49" s="5">
        <f t="shared" si="1"/>
        <v>1025177.8300000001</v>
      </c>
      <c r="P49" s="5">
        <f>SUM(P32:P48)</f>
        <v>0</v>
      </c>
      <c r="Q49" s="5">
        <f>SUM(Q32:Q48)</f>
        <v>973934.35</v>
      </c>
    </row>
    <row r="51" spans="1:17" ht="13.5" thickBot="1">
      <c r="A51" s="12" t="s">
        <v>74</v>
      </c>
      <c r="B51" s="13">
        <f aca="true" t="shared" si="2" ref="B51:O51">+B30-B49</f>
        <v>9.6</v>
      </c>
      <c r="C51" s="13">
        <f t="shared" si="2"/>
        <v>0</v>
      </c>
      <c r="D51" s="13">
        <f t="shared" si="2"/>
        <v>0</v>
      </c>
      <c r="E51" s="13">
        <f t="shared" si="2"/>
        <v>9.07</v>
      </c>
      <c r="F51" s="13">
        <f t="shared" si="2"/>
        <v>0</v>
      </c>
      <c r="G51" s="13">
        <f t="shared" si="2"/>
        <v>0</v>
      </c>
      <c r="H51" s="13">
        <f t="shared" si="2"/>
        <v>8.47</v>
      </c>
      <c r="I51" s="13">
        <f t="shared" si="2"/>
        <v>0</v>
      </c>
      <c r="J51" s="13">
        <f t="shared" si="2"/>
        <v>0</v>
      </c>
      <c r="K51" s="13">
        <f t="shared" si="2"/>
        <v>8.67</v>
      </c>
      <c r="L51" s="13">
        <f t="shared" si="2"/>
        <v>0</v>
      </c>
      <c r="M51" s="13">
        <f t="shared" si="2"/>
        <v>0</v>
      </c>
      <c r="N51" s="13">
        <f>+N30-N49</f>
        <v>11.370000000000001</v>
      </c>
      <c r="O51" s="13">
        <f t="shared" si="2"/>
        <v>0</v>
      </c>
      <c r="P51" s="13">
        <f>+P30-P49</f>
        <v>12.23</v>
      </c>
      <c r="Q51" s="15">
        <f>+Q30-Q49</f>
        <v>0</v>
      </c>
    </row>
    <row r="53" ht="12.75">
      <c r="A53" t="s">
        <v>71</v>
      </c>
    </row>
    <row r="54" spans="1:17" ht="12.75">
      <c r="A54" t="s">
        <v>72</v>
      </c>
      <c r="Q54" s="14"/>
    </row>
    <row r="55" ht="12.75">
      <c r="A55" t="s">
        <v>73</v>
      </c>
    </row>
    <row r="57" ht="12.75">
      <c r="A57" t="s">
        <v>10</v>
      </c>
    </row>
    <row r="58" ht="12.75">
      <c r="A58" t="s">
        <v>11</v>
      </c>
    </row>
    <row r="59" ht="12.75">
      <c r="A59" t="s">
        <v>79</v>
      </c>
    </row>
    <row r="60" ht="12.75">
      <c r="A60" t="s">
        <v>85</v>
      </c>
    </row>
    <row r="61" ht="12.75">
      <c r="A61" t="s">
        <v>81</v>
      </c>
    </row>
    <row r="62" ht="12.75">
      <c r="A62" t="s">
        <v>91</v>
      </c>
    </row>
    <row r="63" ht="12.75">
      <c r="A63" t="s">
        <v>95</v>
      </c>
    </row>
    <row r="64" ht="12.75">
      <c r="A64" t="s">
        <v>92</v>
      </c>
    </row>
    <row r="65" ht="12.75">
      <c r="A65" t="s">
        <v>14</v>
      </c>
    </row>
    <row r="66" ht="12.75">
      <c r="A66" t="s">
        <v>96</v>
      </c>
    </row>
    <row r="67" ht="12.75">
      <c r="A67" t="s">
        <v>13</v>
      </c>
    </row>
  </sheetData>
  <printOptions horizontalCentered="1"/>
  <pageMargins left="0.25" right="0.25" top="1" bottom="1" header="0.5" footer="0.5"/>
  <pageSetup fitToHeight="1" fitToWidth="1" orientation="landscape" paperSize="5" scale="45"/>
  <headerFooter alignWithMargins="0">
    <oddHeader>&amp;C&amp;"Times New Roman,Bold"Appendix E:  Madison Metropolitan School District
Fine Arts Financial Analysis - Band</oddHeader>
    <oddFooter>&amp;L&amp;"Times New Roman,Regular"&amp;Z&amp;F&amp;F&amp;A
&amp;R&amp;"Times New Roman,Regular"Appendix E,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75" zoomScaleNormal="75" workbookViewId="0" topLeftCell="A1">
      <pane xSplit="1" ySplit="2" topLeftCell="L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7" sqref="Q37"/>
    </sheetView>
  </sheetViews>
  <sheetFormatPr defaultColWidth="11.00390625" defaultRowHeight="12.75"/>
  <cols>
    <col min="1" max="1" width="36.625" style="0" customWidth="1"/>
    <col min="2" max="2" width="9.125" style="0" customWidth="1"/>
    <col min="3" max="4" width="13.25390625" style="0" bestFit="1" customWidth="1"/>
    <col min="5" max="5" width="8.625" style="0" customWidth="1"/>
    <col min="6" max="7" width="13.25390625" style="0" bestFit="1" customWidth="1"/>
    <col min="8" max="8" width="9.375" style="0" customWidth="1"/>
    <col min="9" max="9" width="13.25390625" style="0" customWidth="1"/>
    <col min="10" max="10" width="13.25390625" style="0" bestFit="1" customWidth="1"/>
    <col min="11" max="11" width="9.25390625" style="0" customWidth="1"/>
    <col min="12" max="13" width="13.25390625" style="0" bestFit="1" customWidth="1"/>
    <col min="14" max="14" width="10.25390625" style="0" customWidth="1"/>
    <col min="15" max="15" width="13.25390625" style="0" bestFit="1" customWidth="1"/>
    <col min="16" max="16" width="10.25390625" style="0" customWidth="1"/>
    <col min="17" max="17" width="13.2539062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44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17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t="s">
        <v>22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t="s">
        <v>37</v>
      </c>
      <c r="B6" s="9">
        <v>9.05</v>
      </c>
      <c r="C6" s="8">
        <v>453065</v>
      </c>
      <c r="D6" s="8">
        <f>+B6*64486</f>
        <v>583598.3</v>
      </c>
      <c r="E6" s="8">
        <f>9.3+0.07</f>
        <v>9.370000000000001</v>
      </c>
      <c r="F6" s="8">
        <f>351490+3516.5</f>
        <v>355006.5</v>
      </c>
      <c r="G6" s="8">
        <v>404136.26</v>
      </c>
      <c r="H6" s="8">
        <f>3.85+0.17</f>
        <v>4.0200000000000005</v>
      </c>
      <c r="I6" s="10">
        <f>406974+6830.5</f>
        <v>413804.5</v>
      </c>
      <c r="J6" s="8">
        <f>181980+5062.17</f>
        <v>187042.17</v>
      </c>
      <c r="K6" s="8">
        <f>4.3+0.17</f>
        <v>4.47</v>
      </c>
      <c r="L6" s="8">
        <f>208497+5681.47</f>
        <v>214178.47</v>
      </c>
      <c r="M6" s="8">
        <f>210215.84+5170</f>
        <v>215385.84</v>
      </c>
      <c r="N6" s="8">
        <f>4.25+0.17</f>
        <v>4.42</v>
      </c>
      <c r="O6" s="8">
        <f>215816+6131.83</f>
        <v>221947.83</v>
      </c>
      <c r="P6" s="8">
        <f>4.55+0.17</f>
        <v>4.72</v>
      </c>
      <c r="Q6" s="8">
        <f>223656+6442.15</f>
        <v>230098.15</v>
      </c>
    </row>
    <row r="7" spans="1:17" ht="12.75">
      <c r="A7" t="s">
        <v>38</v>
      </c>
      <c r="B7" s="8"/>
      <c r="C7" s="8">
        <v>170911</v>
      </c>
      <c r="D7" s="8"/>
      <c r="E7" s="8"/>
      <c r="F7" s="8">
        <f>110766+3989.67</f>
        <v>114755.67</v>
      </c>
      <c r="G7" s="8">
        <v>167365.77</v>
      </c>
      <c r="H7" s="8"/>
      <c r="I7" s="8">
        <f>182788+2465.5</f>
        <v>185253.5</v>
      </c>
      <c r="J7" s="8">
        <f>76498.68+2021</f>
        <v>78519.68</v>
      </c>
      <c r="K7" s="8"/>
      <c r="L7" s="8">
        <f>74249+2172.83</f>
        <v>76421.83</v>
      </c>
      <c r="M7" s="8">
        <f>97392.8+1834.67</f>
        <v>99227.47</v>
      </c>
      <c r="N7" s="8"/>
      <c r="O7" s="8">
        <f>100559+2188.5</f>
        <v>102747.5</v>
      </c>
      <c r="P7" s="8"/>
      <c r="Q7" s="8">
        <f>13554+13554+17109+607+53485+2606+2298+2407.2</f>
        <v>105620.2</v>
      </c>
    </row>
    <row r="8" spans="2:17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2.75">
      <c r="A10" s="1" t="s">
        <v>28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</row>
    <row r="11" spans="1:17" s="1" customFormat="1" ht="12.75">
      <c r="A11" s="1" t="s">
        <v>47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2.75">
      <c r="A12" s="1" t="s">
        <v>48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2.75">
      <c r="A13" s="1" t="s">
        <v>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2.75">
      <c r="A14" s="1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2.75">
      <c r="A15" s="1" t="s">
        <v>41</v>
      </c>
      <c r="B15" s="8"/>
      <c r="C15" s="8"/>
      <c r="D15" s="8"/>
      <c r="E15" s="8"/>
      <c r="F15" s="8"/>
      <c r="G15" s="8">
        <v>559</v>
      </c>
      <c r="H15" s="8"/>
      <c r="I15" s="8"/>
      <c r="J15" s="8">
        <v>379.9</v>
      </c>
      <c r="K15" s="8"/>
      <c r="L15" s="8">
        <v>156</v>
      </c>
      <c r="M15" s="8">
        <v>95</v>
      </c>
      <c r="N15" s="8"/>
      <c r="O15" s="8">
        <v>158</v>
      </c>
      <c r="P15" s="8"/>
      <c r="Q15" s="8">
        <v>162</v>
      </c>
    </row>
    <row r="16" spans="1:17" s="1" customFormat="1" ht="12.75">
      <c r="A16" s="1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2.75">
      <c r="A17" s="1" t="s">
        <v>43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2.75">
      <c r="A18" s="1" t="s">
        <v>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2.75">
      <c r="A19" s="1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2.75">
      <c r="A20" s="1" t="s">
        <v>51</v>
      </c>
      <c r="B20" s="8"/>
      <c r="C20" s="8"/>
      <c r="D20" s="8"/>
      <c r="E20" s="8"/>
      <c r="F20" s="8"/>
      <c r="G20" s="8"/>
      <c r="H20" s="8"/>
      <c r="I20" s="8">
        <v>11175.84</v>
      </c>
      <c r="J20" s="8">
        <v>11175.84</v>
      </c>
      <c r="K20" s="8"/>
      <c r="L20" s="8">
        <v>6046</v>
      </c>
      <c r="M20" s="8">
        <v>6046</v>
      </c>
      <c r="N20" s="8"/>
      <c r="O20" s="8">
        <v>9296.5</v>
      </c>
      <c r="P20" s="8"/>
      <c r="Q20" s="8">
        <v>5911</v>
      </c>
    </row>
    <row r="21" spans="1:17" s="1" customFormat="1" ht="12.75">
      <c r="A21" s="1" t="s">
        <v>67</v>
      </c>
      <c r="B21" s="8"/>
      <c r="C21" s="8"/>
      <c r="D21" s="8"/>
      <c r="E21" s="8"/>
      <c r="F21" s="8"/>
      <c r="G21" s="8"/>
      <c r="H21" s="8"/>
      <c r="I21" s="8">
        <f>8049.5+692.82</f>
        <v>8742.32</v>
      </c>
      <c r="J21" s="10">
        <f>8049.5+392.82</f>
        <v>8442.32</v>
      </c>
      <c r="K21" s="8"/>
      <c r="L21" s="8">
        <v>2063.1</v>
      </c>
      <c r="M21" s="8"/>
      <c r="N21" s="8"/>
      <c r="O21" s="8">
        <v>4350</v>
      </c>
      <c r="P21" s="8"/>
      <c r="Q21" s="8">
        <v>4883</v>
      </c>
    </row>
    <row r="22" spans="1:17" s="1" customFormat="1" ht="12.75">
      <c r="A22" s="1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3084</v>
      </c>
    </row>
    <row r="23" spans="1:17" s="1" customFormat="1" ht="12.75">
      <c r="A23" s="1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" customFormat="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t="s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t="s">
        <v>3</v>
      </c>
      <c r="B26" s="8"/>
      <c r="C26" s="8"/>
      <c r="D26" s="8"/>
      <c r="E26" s="8"/>
      <c r="F26" s="8"/>
      <c r="G26" s="10"/>
      <c r="H26" s="10"/>
      <c r="I26" s="8"/>
      <c r="J26" s="8"/>
      <c r="K26" s="8"/>
      <c r="L26" s="8"/>
      <c r="M26" s="8"/>
      <c r="N26" s="8"/>
      <c r="O26" s="8"/>
      <c r="P26" s="8"/>
      <c r="Q26" s="8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" t="s">
        <v>59</v>
      </c>
      <c r="B30" s="5">
        <f aca="true" t="shared" si="0" ref="B30:O30">SUM(B3:B29)</f>
        <v>9.05</v>
      </c>
      <c r="C30" s="5">
        <f t="shared" si="0"/>
        <v>623976</v>
      </c>
      <c r="D30" s="5">
        <f t="shared" si="0"/>
        <v>583598.3</v>
      </c>
      <c r="E30" s="5">
        <f t="shared" si="0"/>
        <v>9.370000000000001</v>
      </c>
      <c r="F30" s="5">
        <f t="shared" si="0"/>
        <v>469762.17</v>
      </c>
      <c r="G30" s="5">
        <f t="shared" si="0"/>
        <v>572061.03</v>
      </c>
      <c r="H30" s="5">
        <f t="shared" si="0"/>
        <v>4.0200000000000005</v>
      </c>
      <c r="I30" s="5">
        <f t="shared" si="0"/>
        <v>618976.1599999999</v>
      </c>
      <c r="J30" s="5">
        <f t="shared" si="0"/>
        <v>285559.91000000003</v>
      </c>
      <c r="K30" s="5">
        <f t="shared" si="0"/>
        <v>4.47</v>
      </c>
      <c r="L30" s="5">
        <f t="shared" si="0"/>
        <v>298865.39999999997</v>
      </c>
      <c r="M30" s="5">
        <f t="shared" si="0"/>
        <v>320754.31</v>
      </c>
      <c r="N30" s="5">
        <f t="shared" si="0"/>
        <v>4.42</v>
      </c>
      <c r="O30" s="5">
        <f t="shared" si="0"/>
        <v>338499.82999999996</v>
      </c>
      <c r="P30" s="5">
        <f>SUM(P3:P29)</f>
        <v>4.72</v>
      </c>
      <c r="Q30" s="5">
        <f>SUM(Q3:Q29)</f>
        <v>349758.35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t="s">
        <v>57</v>
      </c>
      <c r="B35" s="8"/>
      <c r="C35" s="8">
        <v>125940.83</v>
      </c>
      <c r="D35" s="8">
        <v>104479.01</v>
      </c>
      <c r="E35" s="8"/>
      <c r="F35" s="8">
        <v>64469.13</v>
      </c>
      <c r="G35" s="8">
        <v>102965.65</v>
      </c>
      <c r="H35" s="8"/>
      <c r="I35" s="8">
        <v>103272.67</v>
      </c>
      <c r="J35" s="8">
        <v>49484.97</v>
      </c>
      <c r="K35" s="8"/>
      <c r="L35" s="8">
        <v>44325.83</v>
      </c>
      <c r="M35" s="8">
        <v>65662.35</v>
      </c>
      <c r="N35" s="8"/>
      <c r="O35" s="8">
        <v>51816.65</v>
      </c>
      <c r="P35" s="8"/>
      <c r="Q35" s="8">
        <v>77049.09</v>
      </c>
    </row>
    <row r="36" spans="1:17" ht="12.75">
      <c r="A36" t="s">
        <v>58</v>
      </c>
      <c r="B36" s="8"/>
      <c r="C36" s="8">
        <v>427179.43</v>
      </c>
      <c r="D36" s="8">
        <v>354253.09</v>
      </c>
      <c r="E36" s="8"/>
      <c r="F36" s="8">
        <v>232066.8</v>
      </c>
      <c r="G36" s="8">
        <v>370424.41</v>
      </c>
      <c r="H36" s="8"/>
      <c r="I36" s="8">
        <v>314660.42</v>
      </c>
      <c r="J36" s="8">
        <v>150696.79</v>
      </c>
      <c r="K36" s="8"/>
      <c r="L36" s="8">
        <v>146836.9</v>
      </c>
      <c r="M36" s="8">
        <v>217849.88</v>
      </c>
      <c r="N36" s="8"/>
      <c r="O36" s="8">
        <v>177587.8</v>
      </c>
      <c r="P36" s="8"/>
      <c r="Q36" s="8">
        <v>249415.36</v>
      </c>
    </row>
    <row r="37" spans="1:17" ht="12.75">
      <c r="A37" t="s">
        <v>7</v>
      </c>
      <c r="B37" s="8"/>
      <c r="C37" s="8">
        <v>9746.74</v>
      </c>
      <c r="D37" s="8">
        <v>7762</v>
      </c>
      <c r="E37" s="8"/>
      <c r="F37" s="8">
        <v>5589.24</v>
      </c>
      <c r="G37" s="8">
        <v>14953.47</v>
      </c>
      <c r="H37" s="8"/>
      <c r="I37" s="8">
        <v>9520.07</v>
      </c>
      <c r="J37" s="8">
        <v>5230.15</v>
      </c>
      <c r="K37" s="8"/>
      <c r="L37" s="8">
        <v>4830.67</v>
      </c>
      <c r="M37" s="8">
        <v>8446.08</v>
      </c>
      <c r="N37" s="8"/>
      <c r="O37" s="8">
        <v>6223.38</v>
      </c>
      <c r="P37" s="8"/>
      <c r="Q37" s="8">
        <v>9839.9</v>
      </c>
    </row>
    <row r="38" spans="2:17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t="s">
        <v>20</v>
      </c>
      <c r="B39" s="8"/>
      <c r="C39" s="8"/>
      <c r="D39" s="8"/>
      <c r="E39" s="8"/>
      <c r="F39" s="8">
        <v>60560</v>
      </c>
      <c r="G39" s="8">
        <v>39547.8</v>
      </c>
      <c r="H39" s="8"/>
      <c r="I39" s="8">
        <v>72158</v>
      </c>
      <c r="J39" s="8">
        <v>46902.5</v>
      </c>
      <c r="K39" s="8"/>
      <c r="L39" s="8">
        <v>65372</v>
      </c>
      <c r="M39" s="8">
        <v>15342</v>
      </c>
      <c r="N39" s="8"/>
      <c r="O39" s="8">
        <v>65372</v>
      </c>
      <c r="P39" s="8"/>
      <c r="Q39" s="8"/>
    </row>
    <row r="40" spans="1:17" ht="12.75">
      <c r="A40" t="s">
        <v>19</v>
      </c>
      <c r="B40" s="8"/>
      <c r="C40" s="8">
        <v>61109</v>
      </c>
      <c r="D40" s="8">
        <v>39721</v>
      </c>
      <c r="E40" s="8"/>
      <c r="F40" s="8">
        <v>107077</v>
      </c>
      <c r="G40" s="8">
        <v>44169.7</v>
      </c>
      <c r="H40" s="8"/>
      <c r="I40" s="8">
        <v>119365</v>
      </c>
      <c r="J40" s="8">
        <v>33245.5</v>
      </c>
      <c r="K40" s="8"/>
      <c r="L40" s="8">
        <v>37500</v>
      </c>
      <c r="M40" s="8">
        <v>13454</v>
      </c>
      <c r="N40" s="8"/>
      <c r="O40" s="8">
        <v>37500</v>
      </c>
      <c r="P40" s="8"/>
      <c r="Q40" s="8">
        <v>13454</v>
      </c>
    </row>
    <row r="41" spans="1:17" ht="12.75">
      <c r="A4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1" customFormat="1" ht="12.75">
      <c r="A43" s="1" t="s">
        <v>15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" customFormat="1" ht="12.75">
      <c r="A44" s="1" t="s">
        <v>17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1" customFormat="1" ht="12.75">
      <c r="A45" s="1" t="s">
        <v>16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2.75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ht="12.75">
      <c r="A49" s="2" t="s">
        <v>60</v>
      </c>
      <c r="B49" s="5">
        <f aca="true" t="shared" si="1" ref="B49:O49">SUM(B32:B48)</f>
        <v>0</v>
      </c>
      <c r="C49" s="5">
        <f t="shared" si="1"/>
        <v>623976</v>
      </c>
      <c r="D49" s="5">
        <f t="shared" si="1"/>
        <v>506215.10000000003</v>
      </c>
      <c r="E49" s="5">
        <f t="shared" si="1"/>
        <v>0</v>
      </c>
      <c r="F49" s="5">
        <f t="shared" si="1"/>
        <v>469762.17</v>
      </c>
      <c r="G49" s="5">
        <f t="shared" si="1"/>
        <v>572061.0299999999</v>
      </c>
      <c r="H49" s="5">
        <f t="shared" si="1"/>
        <v>0</v>
      </c>
      <c r="I49" s="5">
        <f t="shared" si="1"/>
        <v>618976.1599999999</v>
      </c>
      <c r="J49" s="5">
        <f t="shared" si="1"/>
        <v>285559.91000000003</v>
      </c>
      <c r="K49" s="5">
        <f t="shared" si="1"/>
        <v>0</v>
      </c>
      <c r="L49" s="5">
        <f t="shared" si="1"/>
        <v>298865.4</v>
      </c>
      <c r="M49" s="5">
        <f t="shared" si="1"/>
        <v>320754.31</v>
      </c>
      <c r="N49" s="5">
        <f t="shared" si="1"/>
        <v>0</v>
      </c>
      <c r="O49" s="5">
        <f t="shared" si="1"/>
        <v>338499.82999999996</v>
      </c>
      <c r="P49" s="5">
        <f>SUM(P32:P48)</f>
        <v>0</v>
      </c>
      <c r="Q49" s="5">
        <f>SUM(Q32:Q48)</f>
        <v>349758.35</v>
      </c>
    </row>
    <row r="51" spans="1:17" ht="13.5" thickBot="1">
      <c r="A51" s="12" t="s">
        <v>74</v>
      </c>
      <c r="B51" s="13">
        <f aca="true" t="shared" si="2" ref="B51:O51">+B30-B49</f>
        <v>9.05</v>
      </c>
      <c r="C51" s="13">
        <f t="shared" si="2"/>
        <v>0</v>
      </c>
      <c r="D51" s="13">
        <f t="shared" si="2"/>
        <v>77383.20000000001</v>
      </c>
      <c r="E51" s="13">
        <f t="shared" si="2"/>
        <v>9.370000000000001</v>
      </c>
      <c r="F51" s="13">
        <f t="shared" si="2"/>
        <v>0</v>
      </c>
      <c r="G51" s="13">
        <f t="shared" si="2"/>
        <v>0</v>
      </c>
      <c r="H51" s="13">
        <f t="shared" si="2"/>
        <v>4.0200000000000005</v>
      </c>
      <c r="I51" s="13">
        <f t="shared" si="2"/>
        <v>0</v>
      </c>
      <c r="J51" s="13">
        <f t="shared" si="2"/>
        <v>0</v>
      </c>
      <c r="K51" s="13">
        <f t="shared" si="2"/>
        <v>4.47</v>
      </c>
      <c r="L51" s="13">
        <f t="shared" si="2"/>
        <v>0</v>
      </c>
      <c r="M51" s="13">
        <f t="shared" si="2"/>
        <v>0</v>
      </c>
      <c r="N51" s="13">
        <f>+N30-N49</f>
        <v>4.42</v>
      </c>
      <c r="O51" s="13">
        <f t="shared" si="2"/>
        <v>0</v>
      </c>
      <c r="P51" s="13">
        <f>+P30-P49</f>
        <v>4.72</v>
      </c>
      <c r="Q51" s="15">
        <f>+Q30-Q49</f>
        <v>0</v>
      </c>
    </row>
    <row r="54" ht="12.75">
      <c r="A54" t="s">
        <v>71</v>
      </c>
    </row>
    <row r="55" ht="12.75">
      <c r="A55" t="s">
        <v>72</v>
      </c>
    </row>
    <row r="56" ht="12.75">
      <c r="A56" t="s">
        <v>73</v>
      </c>
    </row>
    <row r="60" ht="12.75">
      <c r="A60" t="s">
        <v>96</v>
      </c>
    </row>
  </sheetData>
  <printOptions horizontalCentered="1"/>
  <pageMargins left="0.25" right="0.25" top="1" bottom="1" header="0.5" footer="0.5"/>
  <pageSetup fitToHeight="1" fitToWidth="1" orientation="landscape" paperSize="5" scale="46"/>
  <headerFooter alignWithMargins="0">
    <oddHeader>&amp;C&amp;"Times New Roman,Bold"&amp;16Appendix E:  Madison Metropolitan School District
Fine Arts Financial Analysis - Elementary Strings</oddHeader>
    <oddFooter>&amp;L&amp;"Times New Roman,Regular"&amp;Z&amp;F&amp;F&amp;A
&amp;R&amp;"Times New Roman,Regular"Appendix E,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75" zoomScaleNormal="75" workbookViewId="0" topLeftCell="A1">
      <pane xSplit="1" ySplit="2" topLeftCell="I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43" sqref="P43:Q44"/>
    </sheetView>
  </sheetViews>
  <sheetFormatPr defaultColWidth="11.00390625" defaultRowHeight="12.75"/>
  <cols>
    <col min="1" max="1" width="36.625" style="0" customWidth="1"/>
    <col min="2" max="2" width="10.25390625" style="0" customWidth="1"/>
    <col min="3" max="3" width="12.25390625" style="0" customWidth="1"/>
    <col min="4" max="4" width="12.125" style="0" bestFit="1" customWidth="1"/>
    <col min="5" max="5" width="7.75390625" style="0" customWidth="1"/>
    <col min="6" max="6" width="13.00390625" style="0" customWidth="1"/>
    <col min="7" max="7" width="13.375" style="0" bestFit="1" customWidth="1"/>
    <col min="8" max="8" width="9.875" style="0" customWidth="1"/>
    <col min="9" max="9" width="13.25390625" style="0" bestFit="1" customWidth="1"/>
    <col min="10" max="10" width="13.375" style="0" bestFit="1" customWidth="1"/>
    <col min="11" max="11" width="10.375" style="0" customWidth="1"/>
    <col min="12" max="12" width="14.125" style="0" customWidth="1"/>
    <col min="13" max="13" width="13.375" style="0" bestFit="1" customWidth="1"/>
    <col min="14" max="14" width="13.375" style="0" customWidth="1"/>
    <col min="15" max="15" width="13.375" style="0" bestFit="1" customWidth="1"/>
    <col min="16" max="16" width="13.375" style="0" customWidth="1"/>
    <col min="17" max="17" width="13.375" style="0" bestFit="1" customWidth="1"/>
  </cols>
  <sheetData>
    <row r="1" spans="2:17" s="3" customFormat="1" ht="12.75">
      <c r="B1" s="3" t="s">
        <v>32</v>
      </c>
      <c r="C1" s="3" t="s">
        <v>32</v>
      </c>
      <c r="D1" s="3" t="s">
        <v>32</v>
      </c>
      <c r="E1" s="3" t="s">
        <v>33</v>
      </c>
      <c r="F1" s="3" t="s">
        <v>33</v>
      </c>
      <c r="G1" s="3" t="s">
        <v>33</v>
      </c>
      <c r="H1" s="3" t="s">
        <v>34</v>
      </c>
      <c r="I1" s="3" t="s">
        <v>34</v>
      </c>
      <c r="J1" s="3" t="s">
        <v>34</v>
      </c>
      <c r="K1" s="3" t="s">
        <v>35</v>
      </c>
      <c r="L1" s="3" t="s">
        <v>35</v>
      </c>
      <c r="M1" s="3" t="s">
        <v>35</v>
      </c>
      <c r="N1" s="3" t="s">
        <v>36</v>
      </c>
      <c r="O1" s="3" t="s">
        <v>36</v>
      </c>
      <c r="P1" s="3" t="s">
        <v>70</v>
      </c>
      <c r="Q1" s="3" t="s">
        <v>70</v>
      </c>
    </row>
    <row r="2" spans="1:17" s="3" customFormat="1" ht="12.75">
      <c r="A2" s="3" t="s">
        <v>44</v>
      </c>
      <c r="B2" s="4" t="s">
        <v>4</v>
      </c>
      <c r="C2" s="4" t="s">
        <v>30</v>
      </c>
      <c r="D2" s="4" t="s">
        <v>31</v>
      </c>
      <c r="E2" s="4" t="s">
        <v>4</v>
      </c>
      <c r="F2" s="4" t="s">
        <v>30</v>
      </c>
      <c r="G2" s="4" t="s">
        <v>31</v>
      </c>
      <c r="H2" s="4" t="s">
        <v>4</v>
      </c>
      <c r="I2" s="4" t="s">
        <v>30</v>
      </c>
      <c r="J2" s="4" t="s">
        <v>31</v>
      </c>
      <c r="K2" s="4" t="s">
        <v>4</v>
      </c>
      <c r="L2" s="4" t="s">
        <v>30</v>
      </c>
      <c r="M2" s="4" t="s">
        <v>31</v>
      </c>
      <c r="N2" s="4" t="s">
        <v>4</v>
      </c>
      <c r="O2" s="4" t="s">
        <v>30</v>
      </c>
      <c r="P2" s="4" t="s">
        <v>4</v>
      </c>
      <c r="Q2" s="4" t="s">
        <v>30</v>
      </c>
    </row>
    <row r="3" spans="1:17" s="2" customFormat="1" ht="12.75">
      <c r="A3" s="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t="s">
        <v>22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t="s">
        <v>38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2.75">
      <c r="A10" s="1" t="s">
        <v>28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</row>
    <row r="11" spans="1:17" s="1" customFormat="1" ht="12.75">
      <c r="A11" s="1" t="s">
        <v>47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2.75">
      <c r="A12" s="1" t="s">
        <v>48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2.75">
      <c r="A13" s="1" t="s">
        <v>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2.75">
      <c r="A14" s="1" t="s">
        <v>39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2.75">
      <c r="A15" s="1" t="s">
        <v>41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2.75">
      <c r="A16" s="1" t="s">
        <v>42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2.75">
      <c r="A17" s="1" t="s">
        <v>43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2.75">
      <c r="A18" s="1" t="s">
        <v>45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2.75">
      <c r="A19" s="1" t="s">
        <v>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2.75">
      <c r="A20" s="1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1" customFormat="1" ht="12.75">
      <c r="A21" s="1" t="s">
        <v>67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1" customFormat="1" ht="12.75">
      <c r="A22" s="1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1" customFormat="1" ht="12.75">
      <c r="A23" s="1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" customFormat="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t="s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t="s">
        <v>3</v>
      </c>
      <c r="B26" s="8"/>
      <c r="C26" s="8"/>
      <c r="D26" s="8"/>
      <c r="E26" s="8"/>
      <c r="F26" s="8"/>
      <c r="G26" s="10"/>
      <c r="H26" s="10"/>
      <c r="I26" s="8"/>
      <c r="J26" s="8"/>
      <c r="K26" s="8"/>
      <c r="L26" s="8"/>
      <c r="M26" s="8"/>
      <c r="N26" s="8"/>
      <c r="O26" s="8"/>
      <c r="P26" s="8"/>
      <c r="Q26" s="8"/>
    </row>
    <row r="27" spans="2:17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t="s">
        <v>24</v>
      </c>
      <c r="B28" s="8"/>
      <c r="C28" s="8"/>
      <c r="D28" s="8">
        <v>23880</v>
      </c>
      <c r="E28" s="8"/>
      <c r="F28" s="8"/>
      <c r="G28" s="8">
        <f>SUM(G43:G45)</f>
        <v>14019</v>
      </c>
      <c r="H28" s="8"/>
      <c r="I28" s="8"/>
      <c r="J28" s="8">
        <f>SUM(J43:J45)</f>
        <v>44423</v>
      </c>
      <c r="K28" s="8"/>
      <c r="L28" s="8"/>
      <c r="M28" s="8">
        <f>SUM(M43:M45)+M47</f>
        <v>123645</v>
      </c>
      <c r="N28" s="8"/>
      <c r="O28" s="8">
        <f>SUM(O43:O45)</f>
        <v>39591</v>
      </c>
      <c r="P28" s="8"/>
      <c r="Q28" s="8"/>
    </row>
    <row r="29" spans="2:17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2" t="s">
        <v>59</v>
      </c>
      <c r="B30" s="5">
        <f aca="true" t="shared" si="0" ref="B30:N30">SUM(B3:B29)</f>
        <v>0</v>
      </c>
      <c r="C30" s="5">
        <f t="shared" si="0"/>
        <v>0</v>
      </c>
      <c r="D30" s="5">
        <f t="shared" si="0"/>
        <v>23880</v>
      </c>
      <c r="E30" s="5">
        <f t="shared" si="0"/>
        <v>0</v>
      </c>
      <c r="F30" s="5">
        <f t="shared" si="0"/>
        <v>0</v>
      </c>
      <c r="G30" s="5">
        <f t="shared" si="0"/>
        <v>14019</v>
      </c>
      <c r="H30" s="5">
        <f t="shared" si="0"/>
        <v>0</v>
      </c>
      <c r="I30" s="5">
        <f t="shared" si="0"/>
        <v>0</v>
      </c>
      <c r="J30" s="5">
        <f t="shared" si="0"/>
        <v>44423</v>
      </c>
      <c r="K30" s="5">
        <f t="shared" si="0"/>
        <v>0</v>
      </c>
      <c r="L30" s="5">
        <f t="shared" si="0"/>
        <v>0</v>
      </c>
      <c r="M30" s="5">
        <f t="shared" si="0"/>
        <v>123645</v>
      </c>
      <c r="N30" s="5">
        <f t="shared" si="0"/>
        <v>0</v>
      </c>
      <c r="O30" s="5">
        <f>SUM(O3:O29)</f>
        <v>39591</v>
      </c>
      <c r="P30" s="5">
        <f>SUM(P3:P29)</f>
        <v>0</v>
      </c>
      <c r="Q30" s="5">
        <f>SUM(Q3:Q29)</f>
        <v>0</v>
      </c>
    </row>
    <row r="31" spans="2:17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2" customFormat="1" ht="12.75">
      <c r="A32" s="2" t="s">
        <v>25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2" customFormat="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t="s">
        <v>21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t="s">
        <v>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t="s">
        <v>58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t="s">
        <v>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t="s">
        <v>20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s="1" customFormat="1" ht="12.75">
      <c r="A43" s="1" t="s">
        <v>15</v>
      </c>
      <c r="B43" s="8"/>
      <c r="C43" s="8"/>
      <c r="D43" s="8">
        <f>17401+7235-1200-D44</f>
        <v>11530</v>
      </c>
      <c r="E43" s="8"/>
      <c r="F43" s="8"/>
      <c r="G43" s="8">
        <f>8348+10288-3500-1548-G44</f>
        <v>12988</v>
      </c>
      <c r="H43" s="8"/>
      <c r="I43" s="8"/>
      <c r="J43" s="8">
        <f>28261+17267-2000-J44</f>
        <v>33598</v>
      </c>
      <c r="K43" s="8"/>
      <c r="L43" s="8"/>
      <c r="M43" s="8">
        <f>123179-50000+20627-3000-5450-8177-4000-M44</f>
        <v>54053</v>
      </c>
      <c r="N43" s="8"/>
      <c r="O43" s="8">
        <f>8615+30976-0-O44</f>
        <v>33676</v>
      </c>
      <c r="P43" s="8"/>
      <c r="Q43" s="8"/>
    </row>
    <row r="44" spans="1:17" s="1" customFormat="1" ht="12.75">
      <c r="A44" s="1" t="s">
        <v>17</v>
      </c>
      <c r="B44" s="8"/>
      <c r="C44" s="8"/>
      <c r="D44" s="8">
        <v>11906</v>
      </c>
      <c r="E44" s="8"/>
      <c r="F44" s="8"/>
      <c r="G44" s="8">
        <v>600</v>
      </c>
      <c r="H44" s="8"/>
      <c r="I44" s="8"/>
      <c r="J44" s="8">
        <v>9930</v>
      </c>
      <c r="K44" s="8"/>
      <c r="L44" s="8"/>
      <c r="M44" s="8">
        <v>19126</v>
      </c>
      <c r="N44" s="8"/>
      <c r="O44" s="8">
        <v>5915</v>
      </c>
      <c r="P44" s="8"/>
      <c r="Q44" s="8"/>
    </row>
    <row r="45" spans="1:17" s="1" customFormat="1" ht="12.75">
      <c r="A45" s="1" t="s">
        <v>16</v>
      </c>
      <c r="B45" s="8"/>
      <c r="C45" s="8"/>
      <c r="D45" s="8">
        <v>444</v>
      </c>
      <c r="E45" s="8"/>
      <c r="F45" s="8"/>
      <c r="G45" s="8">
        <v>431</v>
      </c>
      <c r="H45" s="8"/>
      <c r="I45" s="8"/>
      <c r="J45" s="8">
        <v>895</v>
      </c>
      <c r="K45" s="8"/>
      <c r="L45" s="8"/>
      <c r="M45" s="8">
        <v>466</v>
      </c>
      <c r="N45" s="8"/>
      <c r="O45" s="8"/>
      <c r="P45" s="8"/>
      <c r="Q45" s="8"/>
    </row>
    <row r="46" spans="2:1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2.75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>
        <v>50000</v>
      </c>
      <c r="N47" s="8"/>
      <c r="O47" s="8"/>
      <c r="P47" s="8"/>
      <c r="Q47" s="8"/>
    </row>
    <row r="48" spans="2:1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2" customFormat="1" ht="12.75">
      <c r="A49" s="2" t="s">
        <v>60</v>
      </c>
      <c r="B49" s="5">
        <f aca="true" t="shared" si="1" ref="B49:O49">SUM(B32:B48)</f>
        <v>0</v>
      </c>
      <c r="C49" s="5">
        <f t="shared" si="1"/>
        <v>0</v>
      </c>
      <c r="D49" s="5">
        <f t="shared" si="1"/>
        <v>23880</v>
      </c>
      <c r="E49" s="5">
        <f t="shared" si="1"/>
        <v>0</v>
      </c>
      <c r="F49" s="5">
        <f t="shared" si="1"/>
        <v>0</v>
      </c>
      <c r="G49" s="5">
        <f t="shared" si="1"/>
        <v>14019</v>
      </c>
      <c r="H49" s="5">
        <f t="shared" si="1"/>
        <v>0</v>
      </c>
      <c r="I49" s="5">
        <f t="shared" si="1"/>
        <v>0</v>
      </c>
      <c r="J49" s="5">
        <f t="shared" si="1"/>
        <v>44423</v>
      </c>
      <c r="K49" s="5">
        <f t="shared" si="1"/>
        <v>0</v>
      </c>
      <c r="L49" s="5">
        <f t="shared" si="1"/>
        <v>0</v>
      </c>
      <c r="M49" s="5">
        <f t="shared" si="1"/>
        <v>123645</v>
      </c>
      <c r="N49" s="5">
        <f t="shared" si="1"/>
        <v>0</v>
      </c>
      <c r="O49" s="5">
        <f t="shared" si="1"/>
        <v>39591</v>
      </c>
      <c r="P49" s="5">
        <f>SUM(P32:P48)</f>
        <v>0</v>
      </c>
      <c r="Q49" s="5">
        <f>SUM(Q32:Q48)</f>
        <v>0</v>
      </c>
    </row>
    <row r="51" spans="1:17" ht="13.5" thickBot="1">
      <c r="A51" s="12" t="s">
        <v>74</v>
      </c>
      <c r="B51" s="13">
        <f aca="true" t="shared" si="2" ref="B51:O51">+B30-B49</f>
        <v>0</v>
      </c>
      <c r="C51" s="13">
        <f t="shared" si="2"/>
        <v>0</v>
      </c>
      <c r="D51" s="13">
        <f t="shared" si="2"/>
        <v>0</v>
      </c>
      <c r="E51" s="13">
        <f t="shared" si="2"/>
        <v>0</v>
      </c>
      <c r="F51" s="13">
        <f t="shared" si="2"/>
        <v>0</v>
      </c>
      <c r="G51" s="13">
        <f t="shared" si="2"/>
        <v>0</v>
      </c>
      <c r="H51" s="13">
        <f t="shared" si="2"/>
        <v>0</v>
      </c>
      <c r="I51" s="13">
        <f t="shared" si="2"/>
        <v>0</v>
      </c>
      <c r="J51" s="13">
        <f t="shared" si="2"/>
        <v>0</v>
      </c>
      <c r="K51" s="13">
        <f t="shared" si="2"/>
        <v>0</v>
      </c>
      <c r="L51" s="13">
        <f t="shared" si="2"/>
        <v>0</v>
      </c>
      <c r="M51" s="13">
        <f t="shared" si="2"/>
        <v>0</v>
      </c>
      <c r="N51" s="13">
        <f>+N30-N49</f>
        <v>0</v>
      </c>
      <c r="O51" s="13">
        <f t="shared" si="2"/>
        <v>0</v>
      </c>
      <c r="P51" s="13">
        <f>+P30-P49</f>
        <v>0</v>
      </c>
      <c r="Q51" s="13">
        <f>+Q30-Q49</f>
        <v>0</v>
      </c>
    </row>
  </sheetData>
  <printOptions horizontalCentered="1"/>
  <pageMargins left="0.25" right="0.25" top="1" bottom="1" header="0.5" footer="0.5"/>
  <pageSetup fitToHeight="1" fitToWidth="1" orientation="landscape" paperSize="5" scale="44"/>
  <headerFooter alignWithMargins="0">
    <oddHeader>&amp;C&amp;"Verdana,Bold"Madison Metropolitan School District
Fine Arts Financial Analysis - Grants/Donations/Reimbursements</oddHeader>
    <oddFooter>&amp;L&amp;"Times New Roman,Regular"&amp;Z&amp;F&amp;F&amp;A
&amp;R&amp;"Times New Roman,Regular"Appendix E,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Schrank User</dc:creator>
  <cp:keywords/>
  <dc:description/>
  <cp:lastModifiedBy>b718768</cp:lastModifiedBy>
  <cp:lastPrinted>2008-08-04T15:31:28Z</cp:lastPrinted>
  <dcterms:created xsi:type="dcterms:W3CDTF">2007-12-08T18:37:32Z</dcterms:created>
  <dcterms:modified xsi:type="dcterms:W3CDTF">2008-09-30T14:31:10Z</dcterms:modified>
  <cp:category/>
  <cp:version/>
  <cp:contentType/>
  <cp:contentStatus/>
</cp:coreProperties>
</file>