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484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'Sheet1'!$A$1:$O$62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<sst xmlns="http://schemas.openxmlformats.org/spreadsheetml/2006/main" count="107" uniqueCount="58">
  <si>
    <t>1999-00</t>
  </si>
  <si>
    <t>Budget</t>
  </si>
  <si>
    <t>Actual</t>
  </si>
  <si>
    <t>2000-01</t>
  </si>
  <si>
    <t>2001-02</t>
  </si>
  <si>
    <t>2002-03</t>
  </si>
  <si>
    <t>2003-04</t>
  </si>
  <si>
    <t>2004-05</t>
  </si>
  <si>
    <t>2005-06</t>
  </si>
  <si>
    <t>Instructional Services</t>
  </si>
  <si>
    <t>Support Services</t>
  </si>
  <si>
    <t>Non-Program Transactions</t>
  </si>
  <si>
    <t>Total General Fund</t>
  </si>
  <si>
    <t>Capital Lease Fund</t>
  </si>
  <si>
    <t>TEACH Fund</t>
  </si>
  <si>
    <t>Special Education Fund</t>
  </si>
  <si>
    <t>Non-Referendum Debt Fund</t>
  </si>
  <si>
    <t>Building Fund</t>
  </si>
  <si>
    <t>Food Service Fund</t>
  </si>
  <si>
    <t>Expendable Trust Fund</t>
  </si>
  <si>
    <t>Non-Expendable Trust Fund</t>
  </si>
  <si>
    <t>Community Services Fund</t>
  </si>
  <si>
    <t>Cooperative Program Fund</t>
  </si>
  <si>
    <t>ALL FUNDS EXPENDITURES</t>
  </si>
  <si>
    <t>(Interfund Transfers)</t>
  </si>
  <si>
    <t>NET ALL FUNDS EXPENDITURES</t>
  </si>
  <si>
    <t>Referendum Debt Fund</t>
  </si>
  <si>
    <t xml:space="preserve">General Fund </t>
  </si>
  <si>
    <t>EXPENDITURES</t>
  </si>
  <si>
    <t>REVENUES</t>
  </si>
  <si>
    <t>Local Sources</t>
  </si>
  <si>
    <t>Other Districts</t>
  </si>
  <si>
    <t>State Sources</t>
  </si>
  <si>
    <t>Federal Sources</t>
  </si>
  <si>
    <t>Refunds, Reimbursements</t>
  </si>
  <si>
    <t>Aid In-Transit</t>
  </si>
  <si>
    <t>ALL FUNDS REVENUES</t>
  </si>
  <si>
    <t>NET ALL FUNDS REVENUES</t>
  </si>
  <si>
    <t>Oct Budget</t>
  </si>
  <si>
    <t>Spring Budget</t>
  </si>
  <si>
    <t>2006-07</t>
  </si>
  <si>
    <t>2007-08</t>
  </si>
  <si>
    <t>October Budget</t>
  </si>
  <si>
    <t>Special Revenue Trust Fund</t>
  </si>
  <si>
    <t>General Fund Revenue % Increase over Prior Year</t>
  </si>
  <si>
    <t>transfers</t>
  </si>
  <si>
    <t>net</t>
  </si>
  <si>
    <t>spring</t>
  </si>
  <si>
    <t>actual</t>
  </si>
  <si>
    <t>fall</t>
  </si>
  <si>
    <t>subtotal</t>
  </si>
  <si>
    <t>All Funds Net Revenue % Increase over Prior Year</t>
  </si>
  <si>
    <t>Revenue Cap Expenditure % Increase (Funds 10, 27, 38 minus Interfund Transfers)</t>
  </si>
  <si>
    <t>Revenue Cap Statutory % Inc per Pupil         1.01%</t>
  </si>
  <si>
    <t>2008-09</t>
  </si>
  <si>
    <t>Proposed Budget</t>
  </si>
  <si>
    <t>General Fund Expenditure % Inc over Prior Year</t>
  </si>
  <si>
    <t>All Funds Net Expenditure % Inc over Prior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</si>
</sst>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0_);_(* \(#,##0.0000\);_(* &quot;-&quot;????_);_(@_)"/>
    <numFmt numFmtId="168" formatCode="&quot;$&quot;#,##0"/>
    <numFmt numFmtId="169" formatCode="\$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165" fontId="2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165" fontId="2" fillId="0" borderId="2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Fill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165" fontId="2" fillId="0" borderId="1" xfId="15" applyNumberFormat="1" applyFont="1" applyFill="1" applyBorder="1" applyAlignment="1">
      <alignment/>
    </xf>
    <xf numFmtId="43" fontId="2" fillId="0" borderId="4" xfId="15" applyFont="1" applyBorder="1" applyAlignment="1">
      <alignment/>
    </xf>
    <xf numFmtId="43" fontId="2" fillId="0" borderId="5" xfId="15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1" xfId="21" applyNumberFormat="1" applyFont="1" applyBorder="1" applyAlignment="1">
      <alignment/>
    </xf>
    <xf numFmtId="10" fontId="4" fillId="0" borderId="12" xfId="21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5" fontId="2" fillId="0" borderId="14" xfId="15" applyNumberFormat="1" applyFont="1" applyBorder="1" applyAlignment="1">
      <alignment/>
    </xf>
    <xf numFmtId="165" fontId="2" fillId="0" borderId="13" xfId="15" applyNumberFormat="1" applyFont="1" applyBorder="1" applyAlignment="1">
      <alignment/>
    </xf>
    <xf numFmtId="10" fontId="2" fillId="0" borderId="13" xfId="21" applyNumberFormat="1" applyFont="1" applyBorder="1" applyAlignment="1">
      <alignment/>
    </xf>
    <xf numFmtId="10" fontId="2" fillId="0" borderId="14" xfId="21" applyNumberFormat="1" applyFont="1" applyBorder="1" applyAlignment="1">
      <alignment/>
    </xf>
    <xf numFmtId="10" fontId="2" fillId="0" borderId="15" xfId="21" applyNumberFormat="1" applyFont="1" applyBorder="1" applyAlignment="1">
      <alignment/>
    </xf>
    <xf numFmtId="165" fontId="2" fillId="0" borderId="15" xfId="15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5" fontId="0" fillId="0" borderId="8" xfId="15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10" fontId="0" fillId="0" borderId="0" xfId="21" applyNumberFormat="1" applyFont="1" applyAlignment="1">
      <alignment/>
    </xf>
    <xf numFmtId="0" fontId="0" fillId="0" borderId="2" xfId="0" applyBorder="1" applyAlignment="1">
      <alignment horizontal="center"/>
    </xf>
    <xf numFmtId="10" fontId="0" fillId="0" borderId="2" xfId="21" applyNumberFormat="1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21" applyNumberFormat="1" applyFont="1" applyBorder="1" applyAlignment="1">
      <alignment/>
    </xf>
    <xf numFmtId="10" fontId="4" fillId="0" borderId="17" xfId="21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2" fillId="0" borderId="18" xfId="15" applyNumberFormat="1" applyFont="1" applyBorder="1" applyAlignment="1">
      <alignment/>
    </xf>
    <xf numFmtId="10" fontId="2" fillId="0" borderId="19" xfId="21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43" fontId="2" fillId="0" borderId="6" xfId="15" applyFont="1" applyBorder="1" applyAlignment="1">
      <alignment/>
    </xf>
    <xf numFmtId="43" fontId="2" fillId="0" borderId="7" xfId="15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0" fontId="0" fillId="0" borderId="18" xfId="0" applyBorder="1" applyAlignment="1">
      <alignment/>
    </xf>
    <xf numFmtId="10" fontId="4" fillId="0" borderId="20" xfId="21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3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9.00390625" style="40" customWidth="1"/>
    <col min="2" max="3" width="14.7109375" style="40" hidden="1" customWidth="1"/>
    <col min="4" max="4" width="14.421875" style="40" customWidth="1"/>
    <col min="5" max="5" width="19.421875" style="40" customWidth="1"/>
    <col min="6" max="6" width="12.7109375" style="40" customWidth="1"/>
    <col min="7" max="7" width="13.28125" style="40" customWidth="1"/>
    <col min="8" max="9" width="12.28125" style="40" customWidth="1"/>
    <col min="10" max="10" width="14.140625" style="40" customWidth="1"/>
    <col min="11" max="12" width="14.8515625" style="40" customWidth="1"/>
    <col min="13" max="13" width="14.140625" style="40" customWidth="1"/>
    <col min="14" max="15" width="14.8515625" style="40" customWidth="1"/>
    <col min="16" max="16" width="14.00390625" style="40" customWidth="1"/>
    <col min="17" max="17" width="14.00390625" style="40" bestFit="1" customWidth="1"/>
    <col min="18" max="18" width="15.00390625" style="40" bestFit="1" customWidth="1"/>
    <col min="19" max="20" width="14.00390625" style="40" customWidth="1"/>
    <col min="21" max="21" width="13.140625" style="40" customWidth="1"/>
    <col min="22" max="22" width="13.8515625" style="40" customWidth="1"/>
    <col min="23" max="23" width="14.7109375" style="40" customWidth="1"/>
    <col min="24" max="24" width="16.421875" style="40" customWidth="1"/>
    <col min="25" max="25" width="14.7109375" style="40" hidden="1" customWidth="1"/>
    <col min="26" max="16384" width="8.8515625" style="40" customWidth="1"/>
  </cols>
  <sheetData>
    <row r="1" spans="1:25" ht="12.75">
      <c r="A1" s="103" t="s">
        <v>28</v>
      </c>
      <c r="B1" s="109" t="s">
        <v>0</v>
      </c>
      <c r="C1" s="110"/>
      <c r="D1" s="109" t="s">
        <v>3</v>
      </c>
      <c r="E1" s="110"/>
      <c r="F1" s="109" t="s">
        <v>4</v>
      </c>
      <c r="G1" s="110"/>
      <c r="H1" s="109" t="s">
        <v>5</v>
      </c>
      <c r="I1" s="110"/>
      <c r="J1" s="109" t="s">
        <v>6</v>
      </c>
      <c r="K1" s="111"/>
      <c r="L1" s="110"/>
      <c r="M1" s="109" t="s">
        <v>7</v>
      </c>
      <c r="N1" s="111"/>
      <c r="O1" s="110"/>
      <c r="P1" s="109" t="s">
        <v>8</v>
      </c>
      <c r="Q1" s="111"/>
      <c r="R1" s="110"/>
      <c r="S1" s="109" t="s">
        <v>40</v>
      </c>
      <c r="T1" s="111"/>
      <c r="U1" s="56"/>
      <c r="V1" s="109" t="s">
        <v>41</v>
      </c>
      <c r="W1" s="110"/>
      <c r="X1" s="109" t="s">
        <v>54</v>
      </c>
      <c r="Y1" s="110"/>
    </row>
    <row r="2" spans="1:25" ht="12.75">
      <c r="A2" s="45" t="s">
        <v>27</v>
      </c>
      <c r="B2" s="96" t="s">
        <v>1</v>
      </c>
      <c r="C2" s="97" t="s">
        <v>2</v>
      </c>
      <c r="D2" s="96" t="s">
        <v>1</v>
      </c>
      <c r="E2" s="97" t="s">
        <v>2</v>
      </c>
      <c r="F2" s="98" t="s">
        <v>1</v>
      </c>
      <c r="G2" s="97" t="s">
        <v>2</v>
      </c>
      <c r="H2" s="98" t="s">
        <v>1</v>
      </c>
      <c r="I2" s="98" t="s">
        <v>2</v>
      </c>
      <c r="J2" s="96" t="s">
        <v>39</v>
      </c>
      <c r="K2" s="98" t="s">
        <v>38</v>
      </c>
      <c r="L2" s="97" t="s">
        <v>2</v>
      </c>
      <c r="M2" s="96" t="s">
        <v>39</v>
      </c>
      <c r="N2" s="98" t="s">
        <v>38</v>
      </c>
      <c r="O2" s="97" t="s">
        <v>2</v>
      </c>
      <c r="P2" s="96" t="s">
        <v>39</v>
      </c>
      <c r="Q2" s="98" t="s">
        <v>38</v>
      </c>
      <c r="R2" s="97" t="s">
        <v>2</v>
      </c>
      <c r="S2" s="96" t="s">
        <v>39</v>
      </c>
      <c r="T2" s="98" t="s">
        <v>38</v>
      </c>
      <c r="U2" s="99" t="s">
        <v>2</v>
      </c>
      <c r="V2" s="100" t="s">
        <v>39</v>
      </c>
      <c r="W2" s="101" t="s">
        <v>42</v>
      </c>
      <c r="X2" s="102" t="s">
        <v>55</v>
      </c>
      <c r="Y2" s="41" t="s">
        <v>42</v>
      </c>
    </row>
    <row r="3" spans="1:25" ht="12.75">
      <c r="A3" s="30" t="s">
        <v>9</v>
      </c>
      <c r="B3" s="5"/>
      <c r="C3" s="7">
        <v>112076925</v>
      </c>
      <c r="D3" s="5">
        <v>115572228</v>
      </c>
      <c r="E3" s="7">
        <v>118726737</v>
      </c>
      <c r="F3" s="6">
        <v>119384994</v>
      </c>
      <c r="G3" s="7">
        <v>125125048</v>
      </c>
      <c r="H3" s="6">
        <v>124618653</v>
      </c>
      <c r="I3" s="6">
        <v>126490948</v>
      </c>
      <c r="J3" s="5">
        <v>130908832</v>
      </c>
      <c r="K3" s="6">
        <v>130937289</v>
      </c>
      <c r="L3" s="7">
        <v>129142217</v>
      </c>
      <c r="M3" s="5">
        <v>131039976</v>
      </c>
      <c r="N3" s="6">
        <v>132073821</v>
      </c>
      <c r="O3" s="7">
        <v>132314777</v>
      </c>
      <c r="P3" s="5">
        <v>130621045</v>
      </c>
      <c r="Q3" s="6">
        <v>131809681</v>
      </c>
      <c r="R3" s="7">
        <v>131928041</v>
      </c>
      <c r="S3" s="5">
        <v>134599144</v>
      </c>
      <c r="T3" s="6">
        <v>135119845</v>
      </c>
      <c r="U3" s="42">
        <v>133676621.49999</v>
      </c>
      <c r="V3" s="5">
        <v>138854104</v>
      </c>
      <c r="W3" s="7">
        <v>139417462</v>
      </c>
      <c r="X3" s="82">
        <v>145438580</v>
      </c>
      <c r="Y3" s="7"/>
    </row>
    <row r="4" spans="1:25" ht="12.75">
      <c r="A4" s="30" t="s">
        <v>10</v>
      </c>
      <c r="B4" s="5"/>
      <c r="C4" s="7">
        <v>74495785</v>
      </c>
      <c r="D4" s="5">
        <v>80075139</v>
      </c>
      <c r="E4" s="7">
        <v>85749752</v>
      </c>
      <c r="F4" s="6">
        <v>83732139</v>
      </c>
      <c r="G4" s="7">
        <v>89178962</v>
      </c>
      <c r="H4" s="6">
        <v>84415420</v>
      </c>
      <c r="I4" s="6">
        <v>91556975</v>
      </c>
      <c r="J4" s="5">
        <v>87245137</v>
      </c>
      <c r="K4" s="6">
        <v>87216680</v>
      </c>
      <c r="L4" s="7">
        <v>93937807</v>
      </c>
      <c r="M4" s="5">
        <v>89100157</v>
      </c>
      <c r="N4" s="6">
        <v>93750369</v>
      </c>
      <c r="O4" s="7">
        <v>98219422</v>
      </c>
      <c r="P4" s="5">
        <v>96046279</v>
      </c>
      <c r="Q4" s="6">
        <v>96013768</v>
      </c>
      <c r="R4" s="7">
        <v>103614613</v>
      </c>
      <c r="S4" s="5">
        <v>99024051</v>
      </c>
      <c r="T4" s="6">
        <v>98880424</v>
      </c>
      <c r="U4" s="42">
        <v>105947786.4999</v>
      </c>
      <c r="V4" s="5">
        <v>101549918.4</v>
      </c>
      <c r="W4" s="7">
        <v>102491404.4</v>
      </c>
      <c r="X4" s="82">
        <v>112187364</v>
      </c>
      <c r="Y4" s="7"/>
    </row>
    <row r="5" spans="1:25" ht="12.75">
      <c r="A5" s="104" t="s">
        <v>11</v>
      </c>
      <c r="B5" s="8"/>
      <c r="C5" s="9">
        <f>88643+33799914</f>
        <v>33888557</v>
      </c>
      <c r="D5" s="8">
        <f>58722+35458791+1019979</f>
        <v>36537492</v>
      </c>
      <c r="E5" s="9">
        <f>34545258+454383+120247</f>
        <v>35119888</v>
      </c>
      <c r="F5" s="2">
        <f>62895+37523133+488400+236900+304733+34290</f>
        <v>38650351</v>
      </c>
      <c r="G5" s="9">
        <f>65826+38239651+645955+123423</f>
        <v>39074855</v>
      </c>
      <c r="H5" s="2">
        <f>38290034+645760+236900</f>
        <v>39172694</v>
      </c>
      <c r="I5" s="2">
        <f>39371853+789552+155998</f>
        <v>40317403</v>
      </c>
      <c r="J5" s="8">
        <f>39628960+671590+236900</f>
        <v>40537450</v>
      </c>
      <c r="K5" s="2">
        <f>39238945+671590+236900+305312</f>
        <v>40452747</v>
      </c>
      <c r="L5" s="9">
        <f>41208653+932352+124880-1</f>
        <v>42265884</v>
      </c>
      <c r="M5" s="8">
        <f>16000+41356430+236900</f>
        <v>41609330</v>
      </c>
      <c r="N5" s="2">
        <f>16000+40875632+236900</f>
        <v>41128532</v>
      </c>
      <c r="O5" s="9">
        <f>200+15000+40762028+914252+122301</f>
        <v>41813781</v>
      </c>
      <c r="P5" s="8">
        <v>45081945</v>
      </c>
      <c r="Q5" s="2">
        <f>2000+43394445+1223685+233797+497200</f>
        <v>45351127</v>
      </c>
      <c r="R5" s="9">
        <f>39961410+1183588+120707</f>
        <v>41265705</v>
      </c>
      <c r="S5" s="8">
        <v>45990988</v>
      </c>
      <c r="T5" s="2">
        <v>47621653</v>
      </c>
      <c r="U5" s="9">
        <v>43127104.4988</v>
      </c>
      <c r="V5" s="43">
        <v>48736381</v>
      </c>
      <c r="W5" s="44">
        <v>49893207</v>
      </c>
      <c r="X5" s="83">
        <v>47680961</v>
      </c>
      <c r="Y5" s="44"/>
    </row>
    <row r="6" spans="1:25" ht="12.75">
      <c r="A6" s="45" t="s">
        <v>12</v>
      </c>
      <c r="B6" s="10">
        <f aca="true" t="shared" si="0" ref="B6:G6">SUM(B3:B5)</f>
        <v>0</v>
      </c>
      <c r="C6" s="12">
        <f t="shared" si="0"/>
        <v>220461267</v>
      </c>
      <c r="D6" s="52">
        <f t="shared" si="0"/>
        <v>232184859</v>
      </c>
      <c r="E6" s="12">
        <f t="shared" si="0"/>
        <v>239596377</v>
      </c>
      <c r="F6" s="11">
        <f t="shared" si="0"/>
        <v>241767484</v>
      </c>
      <c r="G6" s="12">
        <f t="shared" si="0"/>
        <v>253378865</v>
      </c>
      <c r="H6" s="11">
        <f aca="true" t="shared" si="1" ref="H6:S6">SUM(H3:H5)</f>
        <v>248206767</v>
      </c>
      <c r="I6" s="11">
        <f t="shared" si="1"/>
        <v>258365326</v>
      </c>
      <c r="J6" s="10">
        <f t="shared" si="1"/>
        <v>258691419</v>
      </c>
      <c r="K6" s="11">
        <f t="shared" si="1"/>
        <v>258606716</v>
      </c>
      <c r="L6" s="12">
        <f t="shared" si="1"/>
        <v>265345908</v>
      </c>
      <c r="M6" s="10">
        <f>SUM(M3:M5)</f>
        <v>261749463</v>
      </c>
      <c r="N6" s="11">
        <f t="shared" si="1"/>
        <v>266952722</v>
      </c>
      <c r="O6" s="12">
        <f t="shared" si="1"/>
        <v>272347980</v>
      </c>
      <c r="P6" s="10">
        <f t="shared" si="1"/>
        <v>271749269</v>
      </c>
      <c r="Q6" s="11">
        <f t="shared" si="1"/>
        <v>273174576</v>
      </c>
      <c r="R6" s="12">
        <f t="shared" si="1"/>
        <v>276808359</v>
      </c>
      <c r="S6" s="10">
        <f t="shared" si="1"/>
        <v>279614183</v>
      </c>
      <c r="T6" s="11">
        <f>SUM(T3:T5)-1</f>
        <v>281621921</v>
      </c>
      <c r="U6" s="11">
        <f>SUM(U3:U5)</f>
        <v>282751512.49869</v>
      </c>
      <c r="V6" s="52">
        <f>SUM(V3:V5)</f>
        <v>289140403.4</v>
      </c>
      <c r="W6" s="53">
        <f>SUM(W3:W5)</f>
        <v>291802073.4</v>
      </c>
      <c r="X6" s="84">
        <f>SUM(X3:X5)</f>
        <v>305306905</v>
      </c>
      <c r="Y6" s="53">
        <f>SUM(Y3:Y5)</f>
        <v>0</v>
      </c>
    </row>
    <row r="7" spans="1:20" ht="12.75">
      <c r="A7" s="45"/>
      <c r="B7" s="10"/>
      <c r="C7" s="12"/>
      <c r="D7" s="13"/>
      <c r="E7" s="12"/>
      <c r="F7" s="11"/>
      <c r="G7" s="12"/>
      <c r="H7" s="11"/>
      <c r="I7" s="11"/>
      <c r="J7" s="10"/>
      <c r="K7" s="11"/>
      <c r="L7" s="12"/>
      <c r="M7" s="10"/>
      <c r="N7" s="11"/>
      <c r="O7" s="12"/>
      <c r="P7" s="10"/>
      <c r="Q7" s="11"/>
      <c r="R7" s="12"/>
      <c r="S7" s="10"/>
      <c r="T7" s="11"/>
    </row>
    <row r="8" spans="1:25" ht="12.75">
      <c r="A8" s="62" t="s">
        <v>56</v>
      </c>
      <c r="B8" s="64"/>
      <c r="C8" s="68"/>
      <c r="D8" s="63"/>
      <c r="E8" s="66"/>
      <c r="F8" s="66">
        <f>(+F6-D6)/D6</f>
        <v>0.04127153269714284</v>
      </c>
      <c r="G8" s="66">
        <f>(+G6-E6)/E6</f>
        <v>0.05752377466041567</v>
      </c>
      <c r="H8" s="66">
        <f>(+H6-F6)/F6</f>
        <v>0.02663419783944147</v>
      </c>
      <c r="I8" s="66">
        <f>(+I6-G6)/G6</f>
        <v>0.0196798616175031</v>
      </c>
      <c r="J8" s="64"/>
      <c r="K8" s="66">
        <f aca="true" t="shared" si="2" ref="K8:W8">(+K6-H6)/H6</f>
        <v>0.041900344320588166</v>
      </c>
      <c r="L8" s="66">
        <f t="shared" si="2"/>
        <v>0.02701826173067821</v>
      </c>
      <c r="M8" s="65">
        <f t="shared" si="2"/>
        <v>0.01182120385678506</v>
      </c>
      <c r="N8" s="66">
        <f t="shared" si="2"/>
        <v>0.0322729669557383</v>
      </c>
      <c r="O8" s="66">
        <f t="shared" si="2"/>
        <v>0.0263884679917506</v>
      </c>
      <c r="P8" s="65">
        <f t="shared" si="2"/>
        <v>0.03820373071787353</v>
      </c>
      <c r="Q8" s="66">
        <f t="shared" si="2"/>
        <v>0.02330695095890425</v>
      </c>
      <c r="R8" s="66">
        <f t="shared" si="2"/>
        <v>0.01637749984413323</v>
      </c>
      <c r="S8" s="65">
        <f t="shared" si="2"/>
        <v>0.02894180370361916</v>
      </c>
      <c r="T8" s="66">
        <f t="shared" si="2"/>
        <v>0.030922881344565535</v>
      </c>
      <c r="U8" s="66">
        <f t="shared" si="2"/>
        <v>0.02147028189524439</v>
      </c>
      <c r="V8" s="65">
        <f t="shared" si="2"/>
        <v>0.0340691602185286</v>
      </c>
      <c r="W8" s="67">
        <f t="shared" si="2"/>
        <v>0.036148295430453996</v>
      </c>
      <c r="X8" s="85">
        <f>(+X6-W6)/W6</f>
        <v>0.046280793836196314</v>
      </c>
      <c r="Y8" s="67">
        <f>(+Y6-V6)/V6</f>
        <v>-1</v>
      </c>
    </row>
    <row r="9" spans="1:20" ht="12.75">
      <c r="A9" s="45"/>
      <c r="B9" s="10"/>
      <c r="C9" s="12"/>
      <c r="D9" s="52"/>
      <c r="E9" s="12"/>
      <c r="F9" s="11"/>
      <c r="G9" s="12"/>
      <c r="H9" s="11"/>
      <c r="I9" s="11"/>
      <c r="J9" s="10"/>
      <c r="K9" s="11"/>
      <c r="L9" s="12"/>
      <c r="M9" s="10"/>
      <c r="N9" s="11"/>
      <c r="O9" s="12"/>
      <c r="P9" s="10"/>
      <c r="Q9" s="11"/>
      <c r="R9" s="12"/>
      <c r="S9" s="10"/>
      <c r="T9" s="11"/>
    </row>
    <row r="10" spans="1:20" ht="12.75">
      <c r="A10" s="45"/>
      <c r="B10" s="10"/>
      <c r="C10" s="12"/>
      <c r="D10" s="10"/>
      <c r="E10" s="12"/>
      <c r="F10" s="11"/>
      <c r="G10" s="12"/>
      <c r="H10" s="11"/>
      <c r="I10" s="11"/>
      <c r="J10" s="10"/>
      <c r="K10" s="11"/>
      <c r="L10" s="12"/>
      <c r="M10" s="10"/>
      <c r="N10" s="11"/>
      <c r="O10" s="12"/>
      <c r="P10" s="10"/>
      <c r="Q10" s="11"/>
      <c r="R10" s="12"/>
      <c r="S10" s="10"/>
      <c r="T10" s="11"/>
    </row>
    <row r="11" spans="1:25" ht="12.75">
      <c r="A11" s="45" t="s">
        <v>13</v>
      </c>
      <c r="B11" s="10"/>
      <c r="C11" s="12">
        <v>346721</v>
      </c>
      <c r="D11" s="10">
        <v>0</v>
      </c>
      <c r="E11" s="12">
        <v>24865</v>
      </c>
      <c r="F11" s="11">
        <v>0</v>
      </c>
      <c r="G11" s="12">
        <v>0</v>
      </c>
      <c r="H11" s="11">
        <v>0</v>
      </c>
      <c r="I11" s="11">
        <v>0</v>
      </c>
      <c r="J11" s="10">
        <v>0</v>
      </c>
      <c r="K11" s="11">
        <v>0</v>
      </c>
      <c r="L11" s="12">
        <v>0</v>
      </c>
      <c r="M11" s="10">
        <v>0</v>
      </c>
      <c r="N11" s="11">
        <v>0</v>
      </c>
      <c r="O11" s="12">
        <v>0</v>
      </c>
      <c r="P11" s="10">
        <v>0</v>
      </c>
      <c r="Q11" s="11">
        <v>0</v>
      </c>
      <c r="R11" s="12">
        <v>0</v>
      </c>
      <c r="S11" s="31">
        <v>0</v>
      </c>
      <c r="T11" s="11">
        <v>0</v>
      </c>
      <c r="V11" s="45"/>
      <c r="W11" s="18"/>
      <c r="X11" s="33"/>
      <c r="Y11" s="18"/>
    </row>
    <row r="12" spans="1:25" ht="12.75">
      <c r="A12" s="45" t="s">
        <v>43</v>
      </c>
      <c r="B12" s="10"/>
      <c r="C12" s="12">
        <v>2489279</v>
      </c>
      <c r="D12" s="10">
        <v>2408315</v>
      </c>
      <c r="E12" s="12">
        <v>3129280</v>
      </c>
      <c r="F12" s="11">
        <v>0</v>
      </c>
      <c r="G12" s="12">
        <v>0</v>
      </c>
      <c r="H12" s="11">
        <v>0</v>
      </c>
      <c r="I12" s="11">
        <v>0</v>
      </c>
      <c r="J12" s="10">
        <v>0</v>
      </c>
      <c r="K12" s="11">
        <v>0</v>
      </c>
      <c r="L12" s="12">
        <v>0</v>
      </c>
      <c r="M12" s="10">
        <v>0</v>
      </c>
      <c r="N12" s="11">
        <v>0</v>
      </c>
      <c r="O12" s="12">
        <v>0</v>
      </c>
      <c r="P12" s="10">
        <v>0</v>
      </c>
      <c r="Q12" s="11">
        <v>0</v>
      </c>
      <c r="R12" s="12">
        <v>973349</v>
      </c>
      <c r="S12" s="31">
        <v>0</v>
      </c>
      <c r="T12" s="11">
        <v>370989</v>
      </c>
      <c r="U12" s="46">
        <v>803631</v>
      </c>
      <c r="V12" s="10">
        <v>303900</v>
      </c>
      <c r="W12" s="12">
        <v>759164</v>
      </c>
      <c r="X12" s="86">
        <v>0</v>
      </c>
      <c r="Y12" s="18"/>
    </row>
    <row r="13" spans="1:20" ht="12.75">
      <c r="A13" s="45" t="s">
        <v>14</v>
      </c>
      <c r="B13" s="10"/>
      <c r="C13" s="12">
        <v>120778</v>
      </c>
      <c r="D13" s="10">
        <v>523250</v>
      </c>
      <c r="E13" s="12">
        <v>891250</v>
      </c>
      <c r="F13" s="11">
        <v>523250</v>
      </c>
      <c r="G13" s="12">
        <v>1254628</v>
      </c>
      <c r="H13" s="11">
        <v>523250</v>
      </c>
      <c r="I13" s="11">
        <v>1873119</v>
      </c>
      <c r="J13" s="10">
        <v>0</v>
      </c>
      <c r="K13" s="11">
        <v>459921</v>
      </c>
      <c r="L13" s="12">
        <v>1662686</v>
      </c>
      <c r="M13" s="10">
        <v>0</v>
      </c>
      <c r="N13" s="11">
        <v>63741</v>
      </c>
      <c r="O13" s="12">
        <v>399512</v>
      </c>
      <c r="P13" s="10">
        <v>0</v>
      </c>
      <c r="Q13" s="11">
        <v>0</v>
      </c>
      <c r="R13" s="12">
        <v>55313</v>
      </c>
      <c r="S13" s="31">
        <v>0</v>
      </c>
      <c r="T13" s="11">
        <v>0</v>
      </c>
    </row>
    <row r="14" spans="1:25" ht="12.75">
      <c r="A14" s="45" t="s">
        <v>15</v>
      </c>
      <c r="B14" s="10"/>
      <c r="C14" s="12">
        <v>48078441</v>
      </c>
      <c r="D14" s="10">
        <v>51523491</v>
      </c>
      <c r="E14" s="12">
        <v>52416713</v>
      </c>
      <c r="F14" s="11">
        <v>58484161</v>
      </c>
      <c r="G14" s="12">
        <v>59651504</v>
      </c>
      <c r="H14" s="11">
        <v>60984343</v>
      </c>
      <c r="I14" s="11">
        <v>63544142</v>
      </c>
      <c r="J14" s="10">
        <v>62601911</v>
      </c>
      <c r="K14" s="11">
        <v>61635896</v>
      </c>
      <c r="L14" s="12">
        <v>66148621</v>
      </c>
      <c r="M14" s="10">
        <v>64427548</v>
      </c>
      <c r="N14" s="11">
        <v>66165329</v>
      </c>
      <c r="O14" s="12">
        <v>65409518</v>
      </c>
      <c r="P14" s="10">
        <v>66310178</v>
      </c>
      <c r="Q14" s="11">
        <v>66307075</v>
      </c>
      <c r="R14" s="12">
        <v>62396992</v>
      </c>
      <c r="S14" s="31">
        <v>69024228</v>
      </c>
      <c r="T14" s="11">
        <v>69186164</v>
      </c>
      <c r="U14" s="46">
        <v>63739573</v>
      </c>
      <c r="V14" s="47">
        <v>67884205</v>
      </c>
      <c r="W14" s="48">
        <v>70582539</v>
      </c>
      <c r="X14" s="87">
        <v>70009649</v>
      </c>
      <c r="Y14" s="48"/>
    </row>
    <row r="15" spans="1:25" ht="12.75">
      <c r="A15" s="45" t="s">
        <v>16</v>
      </c>
      <c r="B15" s="10"/>
      <c r="C15" s="12">
        <v>77588</v>
      </c>
      <c r="D15" s="10">
        <v>77653</v>
      </c>
      <c r="E15" s="12">
        <v>77654</v>
      </c>
      <c r="F15" s="11">
        <v>347654</v>
      </c>
      <c r="G15" s="12">
        <v>297257</v>
      </c>
      <c r="H15" s="11">
        <v>363678</v>
      </c>
      <c r="I15" s="11">
        <v>333928</v>
      </c>
      <c r="J15" s="10">
        <v>865154</v>
      </c>
      <c r="K15" s="11">
        <v>936643</v>
      </c>
      <c r="L15" s="12">
        <v>941894</v>
      </c>
      <c r="M15" s="10">
        <v>999647</v>
      </c>
      <c r="N15" s="11">
        <v>1014971</v>
      </c>
      <c r="O15" s="12">
        <v>936910</v>
      </c>
      <c r="P15" s="10">
        <v>1000668</v>
      </c>
      <c r="Q15" s="11">
        <v>1000668</v>
      </c>
      <c r="R15" s="12">
        <v>965667</v>
      </c>
      <c r="S15" s="31">
        <v>1010944</v>
      </c>
      <c r="T15" s="11">
        <v>1010944</v>
      </c>
      <c r="U15" s="46">
        <v>4066167</v>
      </c>
      <c r="V15" s="47">
        <v>325204</v>
      </c>
      <c r="W15" s="48">
        <v>265204</v>
      </c>
      <c r="X15" s="87">
        <v>664256</v>
      </c>
      <c r="Y15" s="48"/>
    </row>
    <row r="16" spans="1:25" ht="12.75">
      <c r="A16" s="45" t="s">
        <v>26</v>
      </c>
      <c r="B16" s="10"/>
      <c r="C16" s="12">
        <v>9663856</v>
      </c>
      <c r="D16" s="10">
        <v>7691438</v>
      </c>
      <c r="E16" s="12">
        <v>7691438</v>
      </c>
      <c r="F16" s="11">
        <v>6699431</v>
      </c>
      <c r="G16" s="12">
        <v>6699431</v>
      </c>
      <c r="H16" s="11">
        <v>6166700</v>
      </c>
      <c r="I16" s="11">
        <v>6166700</v>
      </c>
      <c r="J16" s="10">
        <v>5624936</v>
      </c>
      <c r="K16" s="11">
        <v>5624936</v>
      </c>
      <c r="L16" s="12">
        <v>5624938</v>
      </c>
      <c r="M16" s="10">
        <v>5545424</v>
      </c>
      <c r="N16" s="11">
        <v>5545424</v>
      </c>
      <c r="O16" s="12">
        <v>5545425</v>
      </c>
      <c r="P16" s="10">
        <v>5432286</v>
      </c>
      <c r="Q16" s="11">
        <v>0</v>
      </c>
      <c r="R16" s="12">
        <v>5432288</v>
      </c>
      <c r="S16" s="31">
        <v>5387488</v>
      </c>
      <c r="T16" s="11">
        <v>5387488</v>
      </c>
      <c r="U16" s="46">
        <v>12962488</v>
      </c>
      <c r="V16" s="47">
        <v>5457525</v>
      </c>
      <c r="W16" s="48">
        <v>6522468</v>
      </c>
      <c r="X16" s="87">
        <v>7376426</v>
      </c>
      <c r="Y16" s="48"/>
    </row>
    <row r="17" spans="1:25" ht="12.75">
      <c r="A17" s="45" t="s">
        <v>17</v>
      </c>
      <c r="B17" s="10"/>
      <c r="C17" s="12">
        <v>0</v>
      </c>
      <c r="D17" s="10">
        <v>0</v>
      </c>
      <c r="E17" s="12">
        <v>11171829</v>
      </c>
      <c r="F17" s="11">
        <v>0</v>
      </c>
      <c r="G17" s="12">
        <v>9639748</v>
      </c>
      <c r="H17" s="11">
        <v>0</v>
      </c>
      <c r="I17" s="11">
        <v>4635444</v>
      </c>
      <c r="J17" s="10">
        <v>0</v>
      </c>
      <c r="K17" s="11">
        <v>0</v>
      </c>
      <c r="L17" s="12">
        <v>3310180</v>
      </c>
      <c r="M17" s="10">
        <v>0</v>
      </c>
      <c r="N17" s="11">
        <v>0</v>
      </c>
      <c r="O17" s="12">
        <v>5934304</v>
      </c>
      <c r="P17" s="10">
        <v>0</v>
      </c>
      <c r="Q17" s="11">
        <v>5432286</v>
      </c>
      <c r="R17" s="12">
        <v>861128</v>
      </c>
      <c r="S17" s="31">
        <v>0</v>
      </c>
      <c r="T17" s="11">
        <v>959000</v>
      </c>
      <c r="U17" s="46">
        <v>4041864</v>
      </c>
      <c r="V17" s="47">
        <v>0</v>
      </c>
      <c r="W17" s="48">
        <v>17563183</v>
      </c>
      <c r="X17" s="87">
        <v>3500000</v>
      </c>
      <c r="Y17" s="48"/>
    </row>
    <row r="18" spans="1:25" ht="12.75">
      <c r="A18" s="45" t="s">
        <v>18</v>
      </c>
      <c r="B18" s="10"/>
      <c r="C18" s="12">
        <v>5705718</v>
      </c>
      <c r="D18" s="10">
        <v>5952754</v>
      </c>
      <c r="E18" s="12">
        <v>6137577</v>
      </c>
      <c r="F18" s="11">
        <v>6480436</v>
      </c>
      <c r="G18" s="12">
        <v>6683500</v>
      </c>
      <c r="H18" s="11">
        <v>6877121</v>
      </c>
      <c r="I18" s="11">
        <v>7115318</v>
      </c>
      <c r="J18" s="10">
        <v>6844037</v>
      </c>
      <c r="K18" s="11">
        <v>6844037</v>
      </c>
      <c r="L18" s="12">
        <v>7716249</v>
      </c>
      <c r="M18" s="10">
        <v>7152021</v>
      </c>
      <c r="N18" s="11">
        <v>7152021</v>
      </c>
      <c r="O18" s="12">
        <v>7971991</v>
      </c>
      <c r="P18" s="10">
        <v>7398620</v>
      </c>
      <c r="Q18" s="11">
        <v>7398620</v>
      </c>
      <c r="R18" s="12">
        <v>8251510</v>
      </c>
      <c r="S18" s="31">
        <v>8800724</v>
      </c>
      <c r="T18" s="11">
        <v>8907793</v>
      </c>
      <c r="U18" s="46">
        <v>8670176</v>
      </c>
      <c r="V18" s="47">
        <v>9291343</v>
      </c>
      <c r="W18" s="48">
        <v>9289401</v>
      </c>
      <c r="X18" s="87">
        <v>10236641</v>
      </c>
      <c r="Y18" s="48"/>
    </row>
    <row r="19" spans="1:25" ht="12.75">
      <c r="A19" s="45" t="s">
        <v>19</v>
      </c>
      <c r="B19" s="10"/>
      <c r="C19" s="12">
        <v>0</v>
      </c>
      <c r="D19" s="10">
        <v>0</v>
      </c>
      <c r="E19" s="12">
        <v>134627</v>
      </c>
      <c r="F19" s="11">
        <v>0</v>
      </c>
      <c r="G19" s="12">
        <v>947192</v>
      </c>
      <c r="H19" s="11">
        <v>0</v>
      </c>
      <c r="I19" s="11">
        <v>420966</v>
      </c>
      <c r="J19" s="10">
        <v>0</v>
      </c>
      <c r="K19" s="11">
        <v>0</v>
      </c>
      <c r="L19" s="12">
        <v>484549</v>
      </c>
      <c r="M19" s="10">
        <v>0</v>
      </c>
      <c r="N19" s="11">
        <v>0</v>
      </c>
      <c r="O19" s="12">
        <v>1706</v>
      </c>
      <c r="P19" s="10">
        <v>0</v>
      </c>
      <c r="Q19" s="11">
        <v>0</v>
      </c>
      <c r="R19" s="12">
        <v>3100528</v>
      </c>
      <c r="S19" s="31">
        <v>0</v>
      </c>
      <c r="T19" s="11">
        <v>0</v>
      </c>
      <c r="U19" s="46">
        <v>2935335</v>
      </c>
      <c r="V19" s="47">
        <v>0</v>
      </c>
      <c r="W19" s="48">
        <v>0</v>
      </c>
      <c r="X19" s="87">
        <v>0</v>
      </c>
      <c r="Y19" s="48"/>
    </row>
    <row r="20" spans="1:25" ht="12.75">
      <c r="A20" s="45" t="s">
        <v>20</v>
      </c>
      <c r="B20" s="10"/>
      <c r="C20" s="12">
        <v>0</v>
      </c>
      <c r="D20" s="10">
        <v>0</v>
      </c>
      <c r="E20" s="12">
        <v>3398</v>
      </c>
      <c r="F20" s="11">
        <v>0</v>
      </c>
      <c r="G20" s="12">
        <v>2931</v>
      </c>
      <c r="H20" s="11">
        <v>0</v>
      </c>
      <c r="I20" s="11">
        <v>1255</v>
      </c>
      <c r="J20" s="10">
        <v>0</v>
      </c>
      <c r="K20" s="11">
        <v>0</v>
      </c>
      <c r="L20" s="12">
        <v>126</v>
      </c>
      <c r="M20" s="10">
        <v>0</v>
      </c>
      <c r="N20" s="11">
        <v>0</v>
      </c>
      <c r="O20" s="12">
        <v>331052</v>
      </c>
      <c r="P20" s="10">
        <v>0</v>
      </c>
      <c r="Q20" s="11">
        <v>0</v>
      </c>
      <c r="R20" s="12">
        <v>325946</v>
      </c>
      <c r="S20" s="31">
        <v>0</v>
      </c>
      <c r="T20" s="11">
        <v>0</v>
      </c>
      <c r="U20" s="46">
        <v>286453</v>
      </c>
      <c r="V20" s="47">
        <v>0</v>
      </c>
      <c r="W20" s="48">
        <v>82622</v>
      </c>
      <c r="X20" s="87">
        <v>0</v>
      </c>
      <c r="Y20" s="48"/>
    </row>
    <row r="21" spans="1:25" ht="12.75">
      <c r="A21" s="45" t="s">
        <v>21</v>
      </c>
      <c r="B21" s="10"/>
      <c r="C21" s="12">
        <v>3752078</v>
      </c>
      <c r="D21" s="10">
        <v>4431232</v>
      </c>
      <c r="E21" s="12">
        <v>4718899</v>
      </c>
      <c r="F21" s="11">
        <v>4166241</v>
      </c>
      <c r="G21" s="12">
        <v>5615309</v>
      </c>
      <c r="H21" s="11">
        <v>7451712</v>
      </c>
      <c r="I21" s="11">
        <v>8241366</v>
      </c>
      <c r="J21" s="10">
        <v>10247646</v>
      </c>
      <c r="K21" s="11">
        <v>10247646</v>
      </c>
      <c r="L21" s="12">
        <v>9702609</v>
      </c>
      <c r="M21" s="10">
        <v>10376089</v>
      </c>
      <c r="N21" s="11">
        <v>11317442</v>
      </c>
      <c r="O21" s="12">
        <v>10922763</v>
      </c>
      <c r="P21" s="10">
        <v>11513016</v>
      </c>
      <c r="Q21" s="11">
        <v>11916179</v>
      </c>
      <c r="R21" s="12">
        <v>11227533</v>
      </c>
      <c r="S21" s="31">
        <v>12856356</v>
      </c>
      <c r="T21" s="11">
        <v>13133379</v>
      </c>
      <c r="U21" s="46">
        <v>12456008</v>
      </c>
      <c r="V21" s="47">
        <v>14042372</v>
      </c>
      <c r="W21" s="48">
        <v>14516473</v>
      </c>
      <c r="X21" s="87">
        <v>14806477</v>
      </c>
      <c r="Y21" s="48"/>
    </row>
    <row r="22" spans="1:25" ht="12.75">
      <c r="A22" s="105" t="s">
        <v>22</v>
      </c>
      <c r="B22" s="13"/>
      <c r="C22" s="14">
        <v>0</v>
      </c>
      <c r="D22" s="13">
        <v>0</v>
      </c>
      <c r="E22" s="14">
        <v>21131</v>
      </c>
      <c r="F22" s="4">
        <v>0</v>
      </c>
      <c r="G22" s="14">
        <v>287762</v>
      </c>
      <c r="H22" s="4">
        <v>0</v>
      </c>
      <c r="I22" s="4">
        <v>305709</v>
      </c>
      <c r="J22" s="13">
        <v>0</v>
      </c>
      <c r="K22" s="4">
        <v>0</v>
      </c>
      <c r="L22" s="14">
        <v>238344</v>
      </c>
      <c r="M22" s="13">
        <v>73992</v>
      </c>
      <c r="N22" s="4">
        <v>77017</v>
      </c>
      <c r="O22" s="14">
        <v>424996</v>
      </c>
      <c r="P22" s="13">
        <v>100729</v>
      </c>
      <c r="Q22" s="4">
        <v>100729</v>
      </c>
      <c r="R22" s="14">
        <v>2491779</v>
      </c>
      <c r="S22" s="32">
        <v>115826</v>
      </c>
      <c r="T22" s="4">
        <v>113850</v>
      </c>
      <c r="U22" s="49">
        <v>2326974</v>
      </c>
      <c r="V22" s="50">
        <v>126487</v>
      </c>
      <c r="W22" s="51">
        <v>1484973</v>
      </c>
      <c r="X22" s="88">
        <f>1339802+239355</f>
        <v>1579157</v>
      </c>
      <c r="Y22" s="51"/>
    </row>
    <row r="23" spans="1:25" ht="12.75">
      <c r="A23" s="45" t="s">
        <v>23</v>
      </c>
      <c r="B23" s="10">
        <f aca="true" t="shared" si="3" ref="B23:I23">SUM(B6:B22)</f>
        <v>0</v>
      </c>
      <c r="C23" s="12">
        <f t="shared" si="3"/>
        <v>290695726</v>
      </c>
      <c r="D23" s="10">
        <f t="shared" si="3"/>
        <v>304792992</v>
      </c>
      <c r="E23" s="12">
        <f t="shared" si="3"/>
        <v>326015038</v>
      </c>
      <c r="F23" s="11">
        <f t="shared" si="3"/>
        <v>318468657.04127157</v>
      </c>
      <c r="G23" s="12">
        <f t="shared" si="3"/>
        <v>344458127.0575238</v>
      </c>
      <c r="H23" s="11">
        <f t="shared" si="3"/>
        <v>330573571.0266342</v>
      </c>
      <c r="I23" s="11">
        <f t="shared" si="3"/>
        <v>351003273.0196799</v>
      </c>
      <c r="J23" s="10">
        <f>SUM(J6:J22)-1</f>
        <v>344875102</v>
      </c>
      <c r="K23" s="11">
        <f>SUM(K6:K22)-1</f>
        <v>344355794.04190034</v>
      </c>
      <c r="L23" s="12">
        <f>SUM(L6:L22)+1</f>
        <v>361176105.02701825</v>
      </c>
      <c r="M23" s="10">
        <f aca="true" t="shared" si="4" ref="M23:T23">SUM(M6:M22)</f>
        <v>350324184.0118212</v>
      </c>
      <c r="N23" s="11">
        <f t="shared" si="4"/>
        <v>358288667.03227293</v>
      </c>
      <c r="O23" s="12">
        <f t="shared" si="4"/>
        <v>370226157.02638847</v>
      </c>
      <c r="P23" s="10">
        <f t="shared" si="4"/>
        <v>363504766.0382037</v>
      </c>
      <c r="Q23" s="11">
        <f t="shared" si="4"/>
        <v>365330133.02330697</v>
      </c>
      <c r="R23" s="12">
        <f t="shared" si="4"/>
        <v>372890392.0163775</v>
      </c>
      <c r="S23" s="10">
        <f t="shared" si="4"/>
        <v>376809749.0289418</v>
      </c>
      <c r="T23" s="11">
        <f t="shared" si="4"/>
        <v>380691528.0309229</v>
      </c>
      <c r="U23" s="11">
        <f>SUM(U6:U22)</f>
        <v>395040181.5201603</v>
      </c>
      <c r="V23" s="52">
        <f>SUM(V6:V22)</f>
        <v>386571439.43406916</v>
      </c>
      <c r="W23" s="53">
        <f>SUM(W6:W22)</f>
        <v>412868100.4361483</v>
      </c>
      <c r="X23" s="84">
        <f>SUM(X6:X22)</f>
        <v>413479511.0462808</v>
      </c>
      <c r="Y23" s="53">
        <f>SUM(Y6:Y22)</f>
        <v>-1</v>
      </c>
    </row>
    <row r="24" spans="1:25" ht="12.75">
      <c r="A24" s="106" t="s">
        <v>24</v>
      </c>
      <c r="B24" s="15"/>
      <c r="C24" s="17">
        <v>-34219267</v>
      </c>
      <c r="D24" s="15">
        <v>-34948791</v>
      </c>
      <c r="E24" s="17">
        <v>-34545258</v>
      </c>
      <c r="F24" s="16">
        <v>-37523133</v>
      </c>
      <c r="G24" s="17">
        <v>-38262267</v>
      </c>
      <c r="H24" s="16">
        <v>-38290034</v>
      </c>
      <c r="I24" s="16">
        <v>-39371853</v>
      </c>
      <c r="J24" s="15">
        <v>-39628960</v>
      </c>
      <c r="K24" s="16">
        <v>-39238945</v>
      </c>
      <c r="L24" s="17">
        <v>-41208653</v>
      </c>
      <c r="M24" s="15">
        <v>-41356430</v>
      </c>
      <c r="N24" s="16">
        <v>-41125632</v>
      </c>
      <c r="O24" s="17">
        <v>-43660318</v>
      </c>
      <c r="P24" s="15">
        <v>-43654445</v>
      </c>
      <c r="Q24" s="16">
        <v>-43864445</v>
      </c>
      <c r="R24" s="17">
        <v>-40023907</v>
      </c>
      <c r="S24" s="15">
        <f>-470000-43861339</f>
        <v>-44331339</v>
      </c>
      <c r="T24" s="16">
        <v>-47589663</v>
      </c>
      <c r="U24" s="16">
        <v>-41387633</v>
      </c>
      <c r="V24" s="15">
        <v>-46587497</v>
      </c>
      <c r="W24" s="17">
        <v>-47619622</v>
      </c>
      <c r="X24" s="89">
        <v>-45672798.5</v>
      </c>
      <c r="Y24" s="17"/>
    </row>
    <row r="25" spans="1:25" ht="12.75">
      <c r="A25" s="45" t="s">
        <v>25</v>
      </c>
      <c r="B25" s="10">
        <f>SUM(B23:B24)</f>
        <v>0</v>
      </c>
      <c r="C25" s="12">
        <f>SUM(C23:C24)</f>
        <v>256476459</v>
      </c>
      <c r="D25" s="10">
        <f>SUM(D23:D24)</f>
        <v>269844201</v>
      </c>
      <c r="E25" s="12">
        <f>SUM(E23:E24)</f>
        <v>291469780</v>
      </c>
      <c r="F25" s="11">
        <f aca="true" t="shared" si="5" ref="F25:S25">SUM(F23:F24)</f>
        <v>280945524.04127157</v>
      </c>
      <c r="G25" s="12">
        <f t="shared" si="5"/>
        <v>306195860.0575238</v>
      </c>
      <c r="H25" s="11">
        <f t="shared" si="5"/>
        <v>292283537.0266342</v>
      </c>
      <c r="I25" s="11">
        <f t="shared" si="5"/>
        <v>311631420.0196799</v>
      </c>
      <c r="J25" s="10">
        <f t="shared" si="5"/>
        <v>305246142</v>
      </c>
      <c r="K25" s="11">
        <f t="shared" si="5"/>
        <v>305116849.04190034</v>
      </c>
      <c r="L25" s="12">
        <f>SUM(L23:L24)-2</f>
        <v>319967450.02701825</v>
      </c>
      <c r="M25" s="10">
        <f>SUM(M23:M24)</f>
        <v>308967754.0118212</v>
      </c>
      <c r="N25" s="11">
        <f t="shared" si="5"/>
        <v>317163035.03227293</v>
      </c>
      <c r="O25" s="12">
        <f t="shared" si="5"/>
        <v>326565839.02638847</v>
      </c>
      <c r="P25" s="10">
        <f t="shared" si="5"/>
        <v>319850321.0382037</v>
      </c>
      <c r="Q25" s="11">
        <f t="shared" si="5"/>
        <v>321465688.02330697</v>
      </c>
      <c r="R25" s="12">
        <f t="shared" si="5"/>
        <v>332866485.0163775</v>
      </c>
      <c r="S25" s="10">
        <f t="shared" si="5"/>
        <v>332478410.0289418</v>
      </c>
      <c r="T25" s="11">
        <f>SUM(T23:T24)+1</f>
        <v>333101866.0309229</v>
      </c>
      <c r="U25" s="11">
        <f>SUM(U23:U24)-3</f>
        <v>353652545.5201603</v>
      </c>
      <c r="V25" s="10">
        <f>SUM(V23:V24)-1</f>
        <v>339983941.43406916</v>
      </c>
      <c r="W25" s="12">
        <f>SUM(W23:W24)</f>
        <v>365248478.4361483</v>
      </c>
      <c r="X25" s="86">
        <f>SUM(X23:X24)-1</f>
        <v>367806711.5462808</v>
      </c>
      <c r="Y25" s="12">
        <f>SUM(Y23:Y24)</f>
        <v>-1</v>
      </c>
    </row>
    <row r="26" spans="1:25" ht="12.75">
      <c r="A26" s="45"/>
      <c r="B26" s="13"/>
      <c r="C26" s="14"/>
      <c r="D26" s="13"/>
      <c r="E26" s="12"/>
      <c r="F26" s="11"/>
      <c r="G26" s="12"/>
      <c r="H26" s="11"/>
      <c r="I26" s="11"/>
      <c r="J26" s="10"/>
      <c r="K26" s="11"/>
      <c r="L26" s="12"/>
      <c r="M26" s="10"/>
      <c r="N26" s="11"/>
      <c r="O26" s="12"/>
      <c r="P26" s="10"/>
      <c r="Q26" s="11"/>
      <c r="R26" s="12"/>
      <c r="S26" s="10"/>
      <c r="T26" s="11"/>
      <c r="U26" s="11"/>
      <c r="V26" s="10"/>
      <c r="W26" s="12"/>
      <c r="X26" s="86"/>
      <c r="Y26" s="12"/>
    </row>
    <row r="27" spans="1:25" ht="12.75">
      <c r="A27" s="62" t="s">
        <v>57</v>
      </c>
      <c r="B27" s="63"/>
      <c r="C27" s="68"/>
      <c r="D27" s="63"/>
      <c r="E27" s="68"/>
      <c r="F27" s="66">
        <f>(+F25-D25)/D25</f>
        <v>0.04113975027120026</v>
      </c>
      <c r="G27" s="66">
        <f>(+G25-E25)/E25</f>
        <v>0.0505235227388712</v>
      </c>
      <c r="H27" s="66">
        <f>(+H25-F25)/F25</f>
        <v>0.04035662438137675</v>
      </c>
      <c r="I27" s="66">
        <f>(+I25-G25)/G25</f>
        <v>0.017751905467092075</v>
      </c>
      <c r="J27" s="64"/>
      <c r="K27" s="66">
        <f aca="true" t="shared" si="6" ref="K27:W27">(+K25-H25)/H25</f>
        <v>0.04390706416727361</v>
      </c>
      <c r="L27" s="66">
        <f t="shared" si="6"/>
        <v>0.02674964548443772</v>
      </c>
      <c r="M27" s="65">
        <f t="shared" si="6"/>
        <v>0.01219216723735434</v>
      </c>
      <c r="N27" s="66">
        <f t="shared" si="6"/>
        <v>0.03948056630828129</v>
      </c>
      <c r="O27" s="66">
        <f t="shared" si="6"/>
        <v>0.020622063271789195</v>
      </c>
      <c r="P27" s="65">
        <f t="shared" si="6"/>
        <v>0.03522233917642465</v>
      </c>
      <c r="Q27" s="66">
        <f t="shared" si="6"/>
        <v>0.013566060718886153</v>
      </c>
      <c r="R27" s="66">
        <f t="shared" si="6"/>
        <v>0.019293646906772488</v>
      </c>
      <c r="S27" s="65">
        <f t="shared" si="6"/>
        <v>0.039481245320462766</v>
      </c>
      <c r="T27" s="66">
        <f t="shared" si="6"/>
        <v>0.03619726285304911</v>
      </c>
      <c r="U27" s="66">
        <f t="shared" si="6"/>
        <v>0.06244563943636472</v>
      </c>
      <c r="V27" s="65">
        <f t="shared" si="6"/>
        <v>0.02257449259479435</v>
      </c>
      <c r="W27" s="67">
        <f t="shared" si="6"/>
        <v>0.09650685175759756</v>
      </c>
      <c r="X27" s="85">
        <f>(+X25-W25)/W25</f>
        <v>0.007004089711984217</v>
      </c>
      <c r="Y27" s="67">
        <f>(+Y25-V25)/V25</f>
        <v>-1.0000000029413154</v>
      </c>
    </row>
    <row r="28" spans="1:20" ht="12.75">
      <c r="A28" s="34"/>
      <c r="B28" s="6"/>
      <c r="C28" s="7"/>
      <c r="D28" s="72"/>
      <c r="E28" s="7"/>
      <c r="F28" s="6"/>
      <c r="G28" s="7"/>
      <c r="H28" s="6"/>
      <c r="I28" s="6"/>
      <c r="J28" s="5"/>
      <c r="K28" s="6"/>
      <c r="L28" s="7"/>
      <c r="M28" s="5"/>
      <c r="N28" s="6"/>
      <c r="O28" s="7"/>
      <c r="P28" s="5"/>
      <c r="Q28" s="6"/>
      <c r="R28" s="7"/>
      <c r="S28" s="30"/>
      <c r="T28" s="6"/>
    </row>
    <row r="29" spans="1:20" ht="12.75">
      <c r="A29" s="33" t="s">
        <v>29</v>
      </c>
      <c r="B29" s="6"/>
      <c r="C29" s="7"/>
      <c r="D29" s="5"/>
      <c r="E29" s="7"/>
      <c r="F29" s="6"/>
      <c r="G29" s="7"/>
      <c r="H29" s="6"/>
      <c r="I29" s="6"/>
      <c r="J29" s="5"/>
      <c r="K29" s="6"/>
      <c r="L29" s="7"/>
      <c r="M29" s="5"/>
      <c r="N29" s="6"/>
      <c r="O29" s="7"/>
      <c r="P29" s="5"/>
      <c r="Q29" s="6"/>
      <c r="R29" s="7"/>
      <c r="S29" s="30"/>
      <c r="T29" s="6"/>
    </row>
    <row r="30" spans="1:20" ht="12.75">
      <c r="A30" s="45" t="s">
        <v>27</v>
      </c>
      <c r="B30" s="5"/>
      <c r="C30" s="7"/>
      <c r="D30" s="5"/>
      <c r="E30" s="7"/>
      <c r="F30" s="6"/>
      <c r="G30" s="7"/>
      <c r="H30" s="6"/>
      <c r="I30" s="6"/>
      <c r="J30" s="5"/>
      <c r="K30" s="6"/>
      <c r="L30" s="7"/>
      <c r="M30" s="5"/>
      <c r="N30" s="6"/>
      <c r="O30" s="7"/>
      <c r="P30" s="5"/>
      <c r="Q30" s="6"/>
      <c r="R30" s="7"/>
      <c r="S30" s="30"/>
      <c r="T30" s="6"/>
    </row>
    <row r="31" spans="1:25" ht="12.75">
      <c r="A31" s="37" t="s">
        <v>30</v>
      </c>
      <c r="B31" s="6"/>
      <c r="C31" s="7">
        <f>147150501+120464+321056+857357+18850+108063+15116+1530323+175818+16348+747679+2024302+232321+13439+25903+36181+19246+282550+3031+50622+536964</f>
        <v>154286134</v>
      </c>
      <c r="D31" s="6">
        <f>6199650+148401619+2597000</f>
        <v>157198269</v>
      </c>
      <c r="E31" s="7">
        <f>148449425+2597000+111556+1106258+18445+108638+10766+1665783+189444+12881+874632+2464039+236514+133320+18987+3337259+14980+144351+38887+803523</f>
        <v>162336688</v>
      </c>
      <c r="F31" s="6">
        <f>152399103+3589000+133900+1100000+18000+110000+10000+1231917+230000+12000+875000+1818000+230000+130000+20000+20000+100000+40000+200000</f>
        <v>162266920</v>
      </c>
      <c r="G31" s="7">
        <f>152399103+3589000+118012+197439+1283809+316270+17136+1263335+203687+44237+1028663+1051553+307015+250000+2009+463591+12171+167354+32462+892396</f>
        <v>163639242</v>
      </c>
      <c r="H31" s="6">
        <f>162944764+4147000+133900+220000+1146200+28000+125075+20000+1975431+380000+12000+633449+1539515+230000+380000+20000+283000+20000+180000+40000+200000</f>
        <v>174658334</v>
      </c>
      <c r="I31" s="6">
        <f>162944764+4147000+116936+244752+813268+102602+14419+1800895+228130+253407+1108514+667079+415862+40479+3752+18932+23081+343500+730104</f>
        <v>174017476</v>
      </c>
      <c r="J31" s="5">
        <f>174774385+4737000+133900+220000+1146200+28000+125510+20000+1994470+207440+392000+636622+936937+234600+387600+20400+288660+20400+183600+40800+204000</f>
        <v>186732524</v>
      </c>
      <c r="K31" s="6">
        <f>178094228+4737000+133900+1016200+125510+20000+1994470+229440+392000+1136622+1066937+234600+387600+20400+288660+20400+183600+40800+25500+20400+204000</f>
        <v>190372267</v>
      </c>
      <c r="L31" s="7">
        <f>188535023+250000</f>
        <v>188785023</v>
      </c>
      <c r="M31" s="5">
        <f>250000+180903325+4863000+133900+1012000+125000+20000+2164383+402939+392000+1405000+1060000+234600+387600+4000+19000+40000+732500</f>
        <v>194149247</v>
      </c>
      <c r="N31" s="6">
        <f>250000+182888273+4863000+133900+125000+20000+2034746+199959+392000+1305000+1240000+234600+387600+8400+19000+40000+881502+1</f>
        <v>195022981</v>
      </c>
      <c r="O31" s="7">
        <f>2894326+187751273+95279+16671+250887+40344+283283+9069+244790+1604491+966423+1950601+394878+69694+9012+1141783+2300</f>
        <v>197725104</v>
      </c>
      <c r="P31" s="5">
        <f>260000+206493643</f>
        <v>206753643</v>
      </c>
      <c r="Q31" s="6">
        <f>192770735+470000</f>
        <v>193240735</v>
      </c>
      <c r="R31" s="7">
        <f>487550+185317558+122301+73626+17363+256171+15392+280806+16427+232465+3009936+1750033+407363+61322+8177+798189</f>
        <v>192854679</v>
      </c>
      <c r="S31" s="5">
        <f>470000+195053360+122301+125665+16500+17832+40000+555554+2259705+300000+2354442+623935+89158+18771+1385842</f>
        <v>203433065</v>
      </c>
      <c r="T31" s="6">
        <f>620000+193818516+120707+73600+17500+256000+17832+280000+16500+235000+3314000+2200000+425000+65000+9000+640000</f>
        <v>202108655</v>
      </c>
      <c r="U31" s="6">
        <f>205672919-1582129+180</f>
        <v>204090970</v>
      </c>
      <c r="V31" s="5">
        <f>215429021+182</f>
        <v>215429203</v>
      </c>
      <c r="W31" s="7">
        <f>212538884-10</f>
        <v>212538874</v>
      </c>
      <c r="X31" s="82">
        <f>427365+219332174</f>
        <v>219759539</v>
      </c>
      <c r="Y31" s="7"/>
    </row>
    <row r="32" spans="1:25" ht="12.75">
      <c r="A32" s="37" t="s">
        <v>31</v>
      </c>
      <c r="B32" s="6"/>
      <c r="C32" s="7">
        <f>17998+21114+241133</f>
        <v>280245</v>
      </c>
      <c r="D32" s="6">
        <v>0</v>
      </c>
      <c r="E32" s="7">
        <f>27161+11573+265540</f>
        <v>304274</v>
      </c>
      <c r="F32" s="6">
        <f>25000+20000+240000</f>
        <v>285000</v>
      </c>
      <c r="G32" s="7">
        <f>20743+80806+249746</f>
        <v>351295</v>
      </c>
      <c r="H32" s="6">
        <f>25000+20000+405600</f>
        <v>450600</v>
      </c>
      <c r="I32" s="6">
        <f>1996+341220+72155</f>
        <v>415371</v>
      </c>
      <c r="J32" s="5">
        <f>25500+20400+413712</f>
        <v>459612</v>
      </c>
      <c r="K32" s="6">
        <v>413712</v>
      </c>
      <c r="L32" s="7">
        <v>475655</v>
      </c>
      <c r="M32" s="5">
        <f>25500+420000</f>
        <v>445500</v>
      </c>
      <c r="N32" s="6">
        <f>93050+750330</f>
        <v>843380</v>
      </c>
      <c r="O32" s="7">
        <f>695+704731+130006</f>
        <v>835432</v>
      </c>
      <c r="P32" s="5">
        <v>878055</v>
      </c>
      <c r="Q32" s="6">
        <v>1046487</v>
      </c>
      <c r="R32" s="7">
        <f>934+741922+97846</f>
        <v>840702</v>
      </c>
      <c r="S32" s="5">
        <f>92817+953670</f>
        <v>1046487</v>
      </c>
      <c r="T32" s="6">
        <f>1000+811992+300000</f>
        <v>1112992</v>
      </c>
      <c r="U32" s="6">
        <v>1004159</v>
      </c>
      <c r="V32" s="5">
        <v>1112992</v>
      </c>
      <c r="W32" s="7">
        <v>1088396</v>
      </c>
      <c r="X32" s="82">
        <v>1041656</v>
      </c>
      <c r="Y32" s="7"/>
    </row>
    <row r="33" spans="1:25" ht="12.75">
      <c r="A33" s="37" t="s">
        <v>35</v>
      </c>
      <c r="B33" s="6"/>
      <c r="C33" s="7">
        <v>0</v>
      </c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6">
        <v>0</v>
      </c>
      <c r="J33" s="5">
        <v>0</v>
      </c>
      <c r="K33" s="6">
        <v>0</v>
      </c>
      <c r="L33" s="7">
        <v>25863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f>21762+14420</f>
        <v>36182</v>
      </c>
      <c r="S33" s="5">
        <v>0</v>
      </c>
      <c r="T33" s="6">
        <v>0</v>
      </c>
      <c r="U33" s="42">
        <v>30122</v>
      </c>
      <c r="V33" s="5">
        <v>0</v>
      </c>
      <c r="W33" s="7">
        <v>23366</v>
      </c>
      <c r="X33" s="82">
        <v>0</v>
      </c>
      <c r="Y33" s="7"/>
    </row>
    <row r="34" spans="1:25" ht="12.75">
      <c r="A34" s="37" t="s">
        <v>32</v>
      </c>
      <c r="B34" s="6"/>
      <c r="C34" s="7">
        <f>743649+420521+139244+52995012+727166+107500+2672218+921645+1013417</f>
        <v>59740372</v>
      </c>
      <c r="D34" s="6">
        <f>9684416+57527228+2496996</f>
        <v>69708640</v>
      </c>
      <c r="E34" s="7">
        <f>743290+483013+136805+57527228+591888+118700+2496996+258023+3012769</f>
        <v>65368712</v>
      </c>
      <c r="F34" s="6">
        <f>855000+517002+144200+59957834+634176+120000+2387038+556039</f>
        <v>65171289</v>
      </c>
      <c r="G34" s="7">
        <f>887724+517002+142833+59893237+632085+110200+2391426+245185+3818000+85838</f>
        <v>68723530</v>
      </c>
      <c r="H34" s="6">
        <f>1042000+506508+144200+56493457+554574+120000+2445451+100237+4268000+80000</f>
        <v>65754427</v>
      </c>
      <c r="I34" s="6">
        <f>945898+506508+124648+56493457+478720+125000+2445451+251464+4588000+32209</f>
        <v>65991355</v>
      </c>
      <c r="J34" s="5">
        <f>1737507+483285+144199+53978219+479316+125000+2527347+100236+5472736+20000</f>
        <v>65067845</v>
      </c>
      <c r="K34" s="6">
        <f>965039+458333+144199+51200976+479316+99000+2282380+100236+5472736+20000</f>
        <v>61222215</v>
      </c>
      <c r="L34" s="7">
        <v>61146896</v>
      </c>
      <c r="M34" s="5">
        <f>985000+450000+135000+51790000+480000+2226979+100000+5500000+44000</f>
        <v>61710979</v>
      </c>
      <c r="N34" s="6">
        <f>1145000+463503+145000+49600888+552000+2130896+291483+5500000+249704</f>
        <v>60078474</v>
      </c>
      <c r="O34" s="7">
        <f>125662+675055+463503+1109949+49600888+19798+11777+74681+13760+291343+5221500+4307+11860+2130896</f>
        <v>59754979</v>
      </c>
      <c r="P34" s="5">
        <v>54780567</v>
      </c>
      <c r="Q34" s="6">
        <v>69165403</v>
      </c>
      <c r="R34" s="7">
        <f>142103+768836+518442+1171349+58478438+14344+250+3478+75335+168223+1684+287409+5652000+4730+1906661</f>
        <v>69193282</v>
      </c>
      <c r="S34" s="5">
        <f>164350+675004+518442+1553199+55120540+300227+5813053+1892313+257195</f>
        <v>66294323</v>
      </c>
      <c r="T34" s="6">
        <f>138000+675004+492188+1250000+56492571+175000+386464+5902000+1582129</f>
        <v>67093356</v>
      </c>
      <c r="U34" s="6">
        <f>65864644+1582129</f>
        <v>67446773</v>
      </c>
      <c r="V34" s="5">
        <v>64828167</v>
      </c>
      <c r="W34" s="7">
        <v>68852826</v>
      </c>
      <c r="X34" s="82">
        <v>74745228</v>
      </c>
      <c r="Y34" s="7"/>
    </row>
    <row r="35" spans="1:25" ht="12.75">
      <c r="A35" s="37" t="s">
        <v>33</v>
      </c>
      <c r="B35" s="6"/>
      <c r="C35" s="7">
        <f>3330920+207705+216543+1590165+780359</f>
        <v>6125692</v>
      </c>
      <c r="D35" s="6">
        <f>1386979+3890971</f>
        <v>5277950</v>
      </c>
      <c r="E35" s="7">
        <f>3422160+216854+221318+693241+3890971</f>
        <v>8444544</v>
      </c>
      <c r="F35" s="6">
        <f>3391368+205070+273950+3528500+3864155</f>
        <v>11263043</v>
      </c>
      <c r="G35" s="7">
        <f>3499656+266323+882118+209618+472214+1214462+3402642</f>
        <v>9947033</v>
      </c>
      <c r="H35" s="6">
        <f>3376643+187524+225546+1476096+187838+677367+772013+305379</f>
        <v>7208406</v>
      </c>
      <c r="I35" s="6">
        <f>4261303+184880+218125+1406664+373721+67479+3041385</f>
        <v>9553557</v>
      </c>
      <c r="J35" s="5">
        <f>3765500+350000+1019162+273000+765000+325000</f>
        <v>6497662</v>
      </c>
      <c r="K35" s="6">
        <f>3765500+350000+1019162+273000+765000+325000</f>
        <v>6497662</v>
      </c>
      <c r="L35" s="7">
        <v>10828324</v>
      </c>
      <c r="M35" s="5">
        <v>5293312</v>
      </c>
      <c r="N35" s="6">
        <f>4998630+2277+828374+1418612+278967+396600+65321+73666+72745-53374+3986+1369829</f>
        <v>9455633</v>
      </c>
      <c r="O35" s="7">
        <f>270671307-O31-O32-O33-O34-O36</f>
        <v>10578437</v>
      </c>
      <c r="P35" s="5">
        <v>8212561</v>
      </c>
      <c r="Q35" s="6">
        <v>8212561</v>
      </c>
      <c r="R35" s="7">
        <f>275573949-R31-R32-R33-R34-R36</f>
        <v>10813598</v>
      </c>
      <c r="S35" s="5">
        <f>235150+228593+67404+128648+1735166+420192+4016994+18011+160744+153472+180260</f>
        <v>7344634</v>
      </c>
      <c r="T35" s="6">
        <f>235150+43806+228593+144500+1327+79716+211397+58975+100000+1554979+550848+27808+4016994+18995+219292+159417+152380+228445</f>
        <v>8032622</v>
      </c>
      <c r="U35" s="6">
        <v>8473536</v>
      </c>
      <c r="V35" s="5">
        <v>7486367</v>
      </c>
      <c r="W35" s="7">
        <v>9989769</v>
      </c>
      <c r="X35" s="82">
        <v>8876808</v>
      </c>
      <c r="Y35" s="7"/>
    </row>
    <row r="36" spans="1:25" ht="12.75">
      <c r="A36" s="38" t="s">
        <v>34</v>
      </c>
      <c r="B36" s="2"/>
      <c r="C36" s="9">
        <v>962240</v>
      </c>
      <c r="D36" s="2">
        <v>0</v>
      </c>
      <c r="E36" s="9">
        <v>422970</v>
      </c>
      <c r="F36" s="2">
        <v>0</v>
      </c>
      <c r="G36" s="9">
        <v>693173</v>
      </c>
      <c r="H36" s="2">
        <v>0</v>
      </c>
      <c r="I36" s="2">
        <v>118145</v>
      </c>
      <c r="J36" s="8">
        <v>0</v>
      </c>
      <c r="K36" s="2">
        <v>0</v>
      </c>
      <c r="L36" s="9">
        <f>228840+164480+1553+54062+1205408</f>
        <v>1654343</v>
      </c>
      <c r="M36" s="8">
        <v>0</v>
      </c>
      <c r="N36" s="2">
        <v>1212000</v>
      </c>
      <c r="O36" s="9">
        <f>16669+219690+48937+7919+1484140</f>
        <v>1777355</v>
      </c>
      <c r="P36" s="8">
        <v>1212000</v>
      </c>
      <c r="Q36" s="2">
        <v>1212000</v>
      </c>
      <c r="R36" s="9">
        <f>53680+51076+418064+7106+1305580</f>
        <v>1835506</v>
      </c>
      <c r="S36" s="8">
        <f>283674+1212000</f>
        <v>1495674</v>
      </c>
      <c r="T36" s="2">
        <f>283674+1100000</f>
        <v>1383674</v>
      </c>
      <c r="U36" s="2">
        <v>2041402</v>
      </c>
      <c r="V36" s="8">
        <v>283674</v>
      </c>
      <c r="W36" s="9">
        <v>283674</v>
      </c>
      <c r="X36" s="90">
        <v>883674</v>
      </c>
      <c r="Y36" s="9"/>
    </row>
    <row r="37" spans="1:25" ht="12.75">
      <c r="A37" s="33" t="s">
        <v>12</v>
      </c>
      <c r="B37" s="11"/>
      <c r="C37" s="12">
        <f>SUM(C31:C36)</f>
        <v>221394683</v>
      </c>
      <c r="D37" s="11">
        <f>SUM(D31:D36)</f>
        <v>232184859</v>
      </c>
      <c r="E37" s="12">
        <f>SUM(E31:E36)</f>
        <v>236877188</v>
      </c>
      <c r="F37" s="11">
        <f>SUM(F31:F36)</f>
        <v>238986252</v>
      </c>
      <c r="G37" s="12">
        <f>SUM(G31:G36)</f>
        <v>243354273</v>
      </c>
      <c r="H37" s="11">
        <f>SUM(H31:H36)-1</f>
        <v>248071766</v>
      </c>
      <c r="I37" s="11">
        <f aca="true" t="shared" si="7" ref="I37:T37">SUM(I31:I36)</f>
        <v>250095904</v>
      </c>
      <c r="J37" s="10">
        <f t="shared" si="7"/>
        <v>258757643</v>
      </c>
      <c r="K37" s="11">
        <f t="shared" si="7"/>
        <v>258505856</v>
      </c>
      <c r="L37" s="12">
        <f t="shared" si="7"/>
        <v>262916104</v>
      </c>
      <c r="M37" s="10">
        <f>SUM(M31:M36)-1</f>
        <v>261599037</v>
      </c>
      <c r="N37" s="11">
        <f t="shared" si="7"/>
        <v>266612468</v>
      </c>
      <c r="O37" s="12">
        <f t="shared" si="7"/>
        <v>270671307</v>
      </c>
      <c r="P37" s="10">
        <f t="shared" si="7"/>
        <v>271836826</v>
      </c>
      <c r="Q37" s="11">
        <f t="shared" si="7"/>
        <v>272877186</v>
      </c>
      <c r="R37" s="12">
        <f t="shared" si="7"/>
        <v>275573949</v>
      </c>
      <c r="S37" s="10">
        <f t="shared" si="7"/>
        <v>279614183</v>
      </c>
      <c r="T37" s="11">
        <f t="shared" si="7"/>
        <v>279731299</v>
      </c>
      <c r="U37" s="11">
        <f>SUM(U31:U36)</f>
        <v>283086962</v>
      </c>
      <c r="V37" s="52">
        <f>SUM(V31:V36)</f>
        <v>289140403</v>
      </c>
      <c r="W37" s="53">
        <f>SUM(W31:W36)</f>
        <v>292776905</v>
      </c>
      <c r="X37" s="84">
        <f>SUM(X31:X36)</f>
        <v>305306905</v>
      </c>
      <c r="Y37" s="53">
        <f>SUM(Y31:Y36)</f>
        <v>0</v>
      </c>
    </row>
    <row r="38" spans="1:25" ht="12.75">
      <c r="A38" s="33"/>
      <c r="B38" s="11"/>
      <c r="C38" s="12"/>
      <c r="D38" s="11"/>
      <c r="E38" s="12"/>
      <c r="F38" s="11"/>
      <c r="G38" s="12"/>
      <c r="H38" s="11"/>
      <c r="I38" s="11"/>
      <c r="J38" s="10"/>
      <c r="K38" s="11"/>
      <c r="L38" s="12"/>
      <c r="M38" s="10"/>
      <c r="N38" s="11"/>
      <c r="O38" s="12"/>
      <c r="P38" s="10"/>
      <c r="Q38" s="11"/>
      <c r="R38" s="12"/>
      <c r="S38" s="10"/>
      <c r="T38" s="11"/>
      <c r="U38" s="11"/>
      <c r="V38" s="10"/>
      <c r="W38" s="12"/>
      <c r="X38" s="86"/>
      <c r="Y38" s="12"/>
    </row>
    <row r="39" spans="1:25" ht="12.75">
      <c r="A39" s="62" t="s">
        <v>44</v>
      </c>
      <c r="B39" s="63"/>
      <c r="C39" s="68"/>
      <c r="D39" s="63"/>
      <c r="E39" s="68"/>
      <c r="F39" s="66">
        <f>(+F37-D37)/D37</f>
        <v>0.02929300829215569</v>
      </c>
      <c r="G39" s="66">
        <f>(+G37-E37)/E37</f>
        <v>0.027343641887542163</v>
      </c>
      <c r="H39" s="66">
        <f>(+H37-F37)/F37</f>
        <v>0.03801688977489801</v>
      </c>
      <c r="I39" s="66">
        <f>(+I37-G37)/G37</f>
        <v>0.027702948943082662</v>
      </c>
      <c r="J39" s="64"/>
      <c r="K39" s="66">
        <f aca="true" t="shared" si="8" ref="K39:W39">(+K37-H37)/H37</f>
        <v>0.0420607720428773</v>
      </c>
      <c r="L39" s="66">
        <f t="shared" si="8"/>
        <v>0.051261135408279215</v>
      </c>
      <c r="M39" s="65">
        <f t="shared" si="8"/>
        <v>0.010980908494362812</v>
      </c>
      <c r="N39" s="66">
        <f t="shared" si="8"/>
        <v>0.031359490749795625</v>
      </c>
      <c r="O39" s="66">
        <f t="shared" si="8"/>
        <v>0.029496873268744315</v>
      </c>
      <c r="P39" s="65">
        <f t="shared" si="8"/>
        <v>0.03913542311702011</v>
      </c>
      <c r="Q39" s="66">
        <f t="shared" si="8"/>
        <v>0.023497468242933035</v>
      </c>
      <c r="R39" s="66">
        <f t="shared" si="8"/>
        <v>0.01811289883046229</v>
      </c>
      <c r="S39" s="65">
        <f t="shared" si="8"/>
        <v>0.028610387762546933</v>
      </c>
      <c r="T39" s="66">
        <f t="shared" si="8"/>
        <v>0.02511794078673913</v>
      </c>
      <c r="U39" s="66">
        <f t="shared" si="8"/>
        <v>0.02726314670622222</v>
      </c>
      <c r="V39" s="65">
        <f t="shared" si="8"/>
        <v>0.03406915878798609</v>
      </c>
      <c r="W39" s="67">
        <f t="shared" si="8"/>
        <v>0.04663620426686683</v>
      </c>
      <c r="X39" s="85">
        <f>(+X37-W37)/W37</f>
        <v>0.042797091526054626</v>
      </c>
      <c r="Y39" s="67">
        <f>(+Y37-V37)/V37</f>
        <v>-1</v>
      </c>
    </row>
    <row r="40" spans="1:25" ht="12.75">
      <c r="A40" s="33"/>
      <c r="B40" s="11"/>
      <c r="C40" s="12"/>
      <c r="D40" s="11"/>
      <c r="E40" s="12"/>
      <c r="F40" s="11"/>
      <c r="G40" s="12"/>
      <c r="H40" s="11"/>
      <c r="I40" s="11"/>
      <c r="J40" s="10"/>
      <c r="K40" s="11"/>
      <c r="L40" s="12"/>
      <c r="M40" s="10"/>
      <c r="N40" s="11"/>
      <c r="O40" s="12"/>
      <c r="P40" s="10"/>
      <c r="Q40" s="11"/>
      <c r="R40" s="12"/>
      <c r="S40" s="10"/>
      <c r="T40" s="11"/>
      <c r="U40" s="11"/>
      <c r="V40" s="10"/>
      <c r="W40" s="12"/>
      <c r="X40" s="86"/>
      <c r="Y40" s="12"/>
    </row>
    <row r="41" spans="1:20" ht="12.75">
      <c r="A41" s="37"/>
      <c r="B41" s="6"/>
      <c r="C41" s="7"/>
      <c r="D41" s="6"/>
      <c r="E41" s="7"/>
      <c r="F41" s="6"/>
      <c r="G41" s="7"/>
      <c r="H41" s="6"/>
      <c r="I41" s="6"/>
      <c r="J41" s="5"/>
      <c r="K41" s="6"/>
      <c r="L41" s="7"/>
      <c r="M41" s="5"/>
      <c r="N41" s="6"/>
      <c r="O41" s="7"/>
      <c r="P41" s="5"/>
      <c r="Q41" s="6"/>
      <c r="R41" s="7"/>
      <c r="S41" s="5"/>
      <c r="T41" s="6"/>
    </row>
    <row r="42" spans="1:20" ht="12.75">
      <c r="A42" s="33" t="s">
        <v>13</v>
      </c>
      <c r="B42" s="6"/>
      <c r="C42" s="12">
        <v>346722</v>
      </c>
      <c r="D42" s="11">
        <v>0</v>
      </c>
      <c r="E42" s="12">
        <v>24865</v>
      </c>
      <c r="F42" s="11">
        <v>0</v>
      </c>
      <c r="G42" s="12">
        <v>0</v>
      </c>
      <c r="H42" s="11">
        <v>0</v>
      </c>
      <c r="I42" s="11">
        <v>0</v>
      </c>
      <c r="J42" s="10">
        <v>0</v>
      </c>
      <c r="K42" s="11">
        <v>0</v>
      </c>
      <c r="L42" s="12">
        <v>0</v>
      </c>
      <c r="M42" s="10">
        <v>0</v>
      </c>
      <c r="N42" s="11">
        <v>0</v>
      </c>
      <c r="O42" s="12">
        <v>0</v>
      </c>
      <c r="P42" s="10">
        <v>0</v>
      </c>
      <c r="Q42" s="11">
        <v>0</v>
      </c>
      <c r="R42" s="12">
        <v>0</v>
      </c>
      <c r="S42" s="10">
        <v>0</v>
      </c>
      <c r="T42" s="11">
        <v>0</v>
      </c>
    </row>
    <row r="43" spans="1:25" ht="12.75">
      <c r="A43" s="33" t="s">
        <v>43</v>
      </c>
      <c r="B43" s="6"/>
      <c r="C43" s="12">
        <v>0</v>
      </c>
      <c r="D43" s="11">
        <v>2408315</v>
      </c>
      <c r="E43" s="12">
        <v>0</v>
      </c>
      <c r="F43" s="11">
        <v>0</v>
      </c>
      <c r="G43" s="12">
        <v>0</v>
      </c>
      <c r="H43" s="11">
        <v>0</v>
      </c>
      <c r="I43" s="11">
        <v>0</v>
      </c>
      <c r="J43" s="10">
        <v>0</v>
      </c>
      <c r="K43" s="11">
        <v>0</v>
      </c>
      <c r="L43" s="12">
        <v>0</v>
      </c>
      <c r="M43" s="10">
        <v>0</v>
      </c>
      <c r="N43" s="11">
        <v>0</v>
      </c>
      <c r="O43" s="12">
        <v>0</v>
      </c>
      <c r="P43" s="10">
        <v>0</v>
      </c>
      <c r="Q43" s="11">
        <v>0</v>
      </c>
      <c r="R43" s="12">
        <v>974932</v>
      </c>
      <c r="S43" s="10">
        <v>0</v>
      </c>
      <c r="T43" s="11">
        <v>370989</v>
      </c>
      <c r="U43" s="46">
        <v>918787</v>
      </c>
      <c r="V43" s="10">
        <v>303900</v>
      </c>
      <c r="W43" s="12">
        <v>563170</v>
      </c>
      <c r="X43" s="86">
        <v>0</v>
      </c>
      <c r="Y43" s="12"/>
    </row>
    <row r="44" spans="1:25" ht="12.75">
      <c r="A44" s="33" t="s">
        <v>14</v>
      </c>
      <c r="B44" s="6"/>
      <c r="C44" s="12">
        <v>695875</v>
      </c>
      <c r="D44" s="11">
        <v>523250</v>
      </c>
      <c r="E44" s="12">
        <v>580723</v>
      </c>
      <c r="F44" s="11">
        <v>523250</v>
      </c>
      <c r="G44" s="12">
        <v>1208505</v>
      </c>
      <c r="H44" s="11">
        <v>523250</v>
      </c>
      <c r="I44" s="11">
        <v>2000088</v>
      </c>
      <c r="J44" s="10">
        <v>0</v>
      </c>
      <c r="K44" s="11">
        <v>234570</v>
      </c>
      <c r="L44" s="12">
        <v>127742</v>
      </c>
      <c r="M44" s="10">
        <v>0</v>
      </c>
      <c r="N44" s="11">
        <v>1373333</v>
      </c>
      <c r="O44" s="12">
        <v>1036339</v>
      </c>
      <c r="P44" s="10">
        <v>0</v>
      </c>
      <c r="Q44" s="11">
        <v>0</v>
      </c>
      <c r="R44" s="12">
        <v>728079</v>
      </c>
      <c r="S44" s="10">
        <v>0</v>
      </c>
      <c r="T44" s="11">
        <v>0</v>
      </c>
      <c r="V44" s="10"/>
      <c r="W44" s="12"/>
      <c r="X44" s="86"/>
      <c r="Y44" s="12"/>
    </row>
    <row r="45" spans="1:25" ht="12.75">
      <c r="A45" s="33" t="s">
        <v>15</v>
      </c>
      <c r="B45" s="6"/>
      <c r="C45" s="12">
        <v>50567720</v>
      </c>
      <c r="D45" s="11">
        <v>51523491</v>
      </c>
      <c r="E45" s="12">
        <v>55545993</v>
      </c>
      <c r="F45" s="11">
        <f>37149501+3231028+730000+160000+17213632</f>
        <v>58484161</v>
      </c>
      <c r="G45" s="12">
        <v>59651504</v>
      </c>
      <c r="H45" s="11">
        <v>60984343</v>
      </c>
      <c r="I45" s="11">
        <v>63544143</v>
      </c>
      <c r="J45" s="10">
        <v>62601911</v>
      </c>
      <c r="K45" s="11">
        <v>61635896</v>
      </c>
      <c r="L45" s="12">
        <v>65647430</v>
      </c>
      <c r="M45" s="10">
        <v>64577977</v>
      </c>
      <c r="N45" s="11">
        <v>66165329</v>
      </c>
      <c r="O45" s="12">
        <v>65409518</v>
      </c>
      <c r="P45" s="10">
        <v>66307075</v>
      </c>
      <c r="Q45" s="11">
        <v>66307075</v>
      </c>
      <c r="R45" s="12">
        <v>62396992</v>
      </c>
      <c r="S45" s="10">
        <v>69024228</v>
      </c>
      <c r="T45" s="11">
        <v>69186164</v>
      </c>
      <c r="U45" s="46">
        <v>63739573</v>
      </c>
      <c r="V45" s="10">
        <v>67884204</v>
      </c>
      <c r="W45" s="12">
        <v>70582539</v>
      </c>
      <c r="X45" s="86">
        <v>70009649</v>
      </c>
      <c r="Y45" s="12"/>
    </row>
    <row r="46" spans="1:25" ht="12.75">
      <c r="A46" s="33" t="s">
        <v>16</v>
      </c>
      <c r="B46" s="6"/>
      <c r="C46" s="12">
        <v>77588</v>
      </c>
      <c r="D46" s="11">
        <v>77654</v>
      </c>
      <c r="E46" s="12">
        <v>77654</v>
      </c>
      <c r="F46" s="11">
        <v>347654</v>
      </c>
      <c r="G46" s="12">
        <v>347654</v>
      </c>
      <c r="H46" s="11">
        <v>363678</v>
      </c>
      <c r="I46" s="11">
        <v>363678</v>
      </c>
      <c r="J46" s="10">
        <v>888686</v>
      </c>
      <c r="K46" s="11">
        <v>888686</v>
      </c>
      <c r="L46" s="12">
        <v>888686</v>
      </c>
      <c r="M46" s="10">
        <v>999647</v>
      </c>
      <c r="N46" s="11">
        <v>1014971</v>
      </c>
      <c r="O46" s="12">
        <v>1014971</v>
      </c>
      <c r="P46" s="10">
        <v>1000668</v>
      </c>
      <c r="Q46" s="11">
        <v>1000668</v>
      </c>
      <c r="R46" s="12">
        <v>1001044</v>
      </c>
      <c r="S46" s="10">
        <v>1010944</v>
      </c>
      <c r="T46" s="11">
        <v>1010944</v>
      </c>
      <c r="U46" s="46">
        <v>4127616</v>
      </c>
      <c r="V46" s="10">
        <v>325204</v>
      </c>
      <c r="W46" s="12">
        <v>325204</v>
      </c>
      <c r="X46" s="86">
        <v>724256</v>
      </c>
      <c r="Y46" s="12"/>
    </row>
    <row r="47" spans="1:25" ht="12.75">
      <c r="A47" s="33" t="s">
        <v>26</v>
      </c>
      <c r="B47" s="6"/>
      <c r="C47" s="12">
        <v>9527904</v>
      </c>
      <c r="D47" s="11">
        <v>7883077</v>
      </c>
      <c r="E47" s="12">
        <v>7951194</v>
      </c>
      <c r="F47" s="11">
        <v>6595566</v>
      </c>
      <c r="G47" s="12">
        <v>6595566</v>
      </c>
      <c r="H47" s="11">
        <v>6070818</v>
      </c>
      <c r="I47" s="11">
        <v>6070818</v>
      </c>
      <c r="J47" s="10">
        <v>5535180</v>
      </c>
      <c r="K47" s="11">
        <v>5122180</v>
      </c>
      <c r="L47" s="12">
        <v>5122180</v>
      </c>
      <c r="M47" s="10">
        <v>5451345</v>
      </c>
      <c r="N47" s="11">
        <v>5451345</v>
      </c>
      <c r="O47" s="12">
        <v>5451345</v>
      </c>
      <c r="P47" s="10">
        <v>5334887</v>
      </c>
      <c r="Q47" s="11">
        <v>5334887</v>
      </c>
      <c r="R47" s="12">
        <v>5334887</v>
      </c>
      <c r="S47" s="10">
        <v>5284581</v>
      </c>
      <c r="T47" s="11">
        <v>5284581</v>
      </c>
      <c r="U47" s="46">
        <v>12689312</v>
      </c>
      <c r="V47" s="10">
        <v>5199400</v>
      </c>
      <c r="W47" s="12">
        <v>7040075</v>
      </c>
      <c r="X47" s="86">
        <v>7261532</v>
      </c>
      <c r="Y47" s="12"/>
    </row>
    <row r="48" spans="1:25" ht="12.75">
      <c r="A48" s="33" t="s">
        <v>17</v>
      </c>
      <c r="B48" s="6"/>
      <c r="C48" s="12">
        <v>0</v>
      </c>
      <c r="D48" s="11">
        <v>0</v>
      </c>
      <c r="E48" s="12">
        <v>0</v>
      </c>
      <c r="F48" s="11">
        <v>0</v>
      </c>
      <c r="G48" s="12">
        <v>0</v>
      </c>
      <c r="H48" s="11">
        <v>0</v>
      </c>
      <c r="I48" s="11">
        <v>0</v>
      </c>
      <c r="J48" s="10">
        <v>0</v>
      </c>
      <c r="K48" s="11">
        <v>0</v>
      </c>
      <c r="L48" s="12">
        <v>7814020</v>
      </c>
      <c r="M48" s="10">
        <v>0</v>
      </c>
      <c r="N48" s="11">
        <v>0</v>
      </c>
      <c r="O48" s="12">
        <v>931953</v>
      </c>
      <c r="P48" s="10">
        <v>0</v>
      </c>
      <c r="Q48" s="11">
        <v>0</v>
      </c>
      <c r="R48" s="12">
        <v>585798</v>
      </c>
      <c r="S48" s="10">
        <v>0</v>
      </c>
      <c r="T48" s="11">
        <v>0</v>
      </c>
      <c r="U48" s="46">
        <v>20968945</v>
      </c>
      <c r="V48" s="10">
        <v>0</v>
      </c>
      <c r="W48" s="12">
        <v>600000</v>
      </c>
      <c r="X48" s="86">
        <v>300000</v>
      </c>
      <c r="Y48" s="12"/>
    </row>
    <row r="49" spans="1:25" ht="12.75">
      <c r="A49" s="33" t="s">
        <v>18</v>
      </c>
      <c r="B49" s="6"/>
      <c r="C49" s="12">
        <v>5705717</v>
      </c>
      <c r="D49" s="11">
        <v>5961694</v>
      </c>
      <c r="E49" s="12">
        <v>6137579</v>
      </c>
      <c r="F49" s="11">
        <f>34290+3326257+58383+8000+106025+2960994</f>
        <v>6493949</v>
      </c>
      <c r="G49" s="12">
        <v>6683500</v>
      </c>
      <c r="H49" s="11">
        <v>6877121</v>
      </c>
      <c r="I49" s="11">
        <v>7115318</v>
      </c>
      <c r="J49" s="10">
        <v>6844037</v>
      </c>
      <c r="K49" s="11">
        <v>6844037</v>
      </c>
      <c r="L49" s="12">
        <v>7383734</v>
      </c>
      <c r="M49" s="10">
        <v>7152021</v>
      </c>
      <c r="N49" s="11">
        <v>7152021</v>
      </c>
      <c r="O49" s="12">
        <v>8304506</v>
      </c>
      <c r="P49" s="10">
        <v>7398620</v>
      </c>
      <c r="Q49" s="11">
        <v>7398620</v>
      </c>
      <c r="R49" s="12">
        <v>8251510</v>
      </c>
      <c r="S49" s="10">
        <v>8800724</v>
      </c>
      <c r="T49" s="11">
        <v>8907793</v>
      </c>
      <c r="U49" s="46">
        <v>8670176</v>
      </c>
      <c r="V49" s="10">
        <v>9291343</v>
      </c>
      <c r="W49" s="12">
        <v>9289401</v>
      </c>
      <c r="X49" s="86">
        <v>10236641</v>
      </c>
      <c r="Y49" s="12"/>
    </row>
    <row r="50" spans="1:25" ht="12.75">
      <c r="A50" s="33" t="s">
        <v>19</v>
      </c>
      <c r="B50" s="6"/>
      <c r="C50" s="12">
        <v>0</v>
      </c>
      <c r="D50" s="11">
        <v>0</v>
      </c>
      <c r="E50" s="12">
        <v>0</v>
      </c>
      <c r="F50" s="11">
        <v>0</v>
      </c>
      <c r="G50" s="12">
        <v>0</v>
      </c>
      <c r="H50" s="11">
        <v>0</v>
      </c>
      <c r="I50" s="11">
        <v>0</v>
      </c>
      <c r="J50" s="10">
        <v>0</v>
      </c>
      <c r="K50" s="11">
        <v>0</v>
      </c>
      <c r="L50" s="12">
        <v>126</v>
      </c>
      <c r="M50" s="10">
        <v>0</v>
      </c>
      <c r="N50" s="11">
        <v>0</v>
      </c>
      <c r="O50" s="12">
        <v>1706</v>
      </c>
      <c r="P50" s="10">
        <v>0</v>
      </c>
      <c r="Q50" s="11">
        <v>0</v>
      </c>
      <c r="R50" s="12">
        <f>2847195+1012434+639314+1143</f>
        <v>4500086</v>
      </c>
      <c r="S50" s="10">
        <v>0</v>
      </c>
      <c r="T50" s="11">
        <v>0</v>
      </c>
      <c r="U50" s="46">
        <v>1452</v>
      </c>
      <c r="V50" s="10">
        <v>0</v>
      </c>
      <c r="W50" s="12">
        <v>0</v>
      </c>
      <c r="X50" s="86">
        <v>0</v>
      </c>
      <c r="Y50" s="12"/>
    </row>
    <row r="51" spans="1:25" ht="12.75">
      <c r="A51" s="33" t="s">
        <v>20</v>
      </c>
      <c r="B51" s="6"/>
      <c r="C51" s="12">
        <v>0</v>
      </c>
      <c r="D51" s="11">
        <v>0</v>
      </c>
      <c r="E51" s="12">
        <v>0</v>
      </c>
      <c r="F51" s="11">
        <v>0</v>
      </c>
      <c r="G51" s="12">
        <v>0</v>
      </c>
      <c r="H51" s="11">
        <v>0</v>
      </c>
      <c r="I51" s="11">
        <v>0</v>
      </c>
      <c r="J51" s="10">
        <v>0</v>
      </c>
      <c r="K51" s="11">
        <v>0</v>
      </c>
      <c r="L51" s="12">
        <v>210134</v>
      </c>
      <c r="M51" s="10">
        <v>0</v>
      </c>
      <c r="N51" s="11">
        <v>0</v>
      </c>
      <c r="O51" s="12">
        <v>218090</v>
      </c>
      <c r="P51" s="10">
        <v>0</v>
      </c>
      <c r="Q51" s="11">
        <v>0</v>
      </c>
      <c r="R51" s="12">
        <v>236677</v>
      </c>
      <c r="S51" s="10">
        <v>0</v>
      </c>
      <c r="T51" s="11">
        <v>0</v>
      </c>
      <c r="U51" s="46">
        <v>243947</v>
      </c>
      <c r="V51" s="10">
        <v>0</v>
      </c>
      <c r="W51" s="12">
        <v>40622</v>
      </c>
      <c r="X51" s="86">
        <v>0</v>
      </c>
      <c r="Y51" s="12"/>
    </row>
    <row r="52" spans="1:25" ht="12.75">
      <c r="A52" s="33" t="s">
        <v>21</v>
      </c>
      <c r="B52" s="39"/>
      <c r="C52" s="12">
        <v>3746922</v>
      </c>
      <c r="D52" s="11">
        <v>4431232</v>
      </c>
      <c r="E52" s="12">
        <v>4736601</v>
      </c>
      <c r="F52" s="29">
        <f>3301750+330791+862160+19000+602110+118255+183175</f>
        <v>5417241</v>
      </c>
      <c r="G52" s="12">
        <v>5384460</v>
      </c>
      <c r="H52" s="11">
        <v>7451712</v>
      </c>
      <c r="I52" s="11">
        <v>8199047</v>
      </c>
      <c r="J52" s="10">
        <v>10247646</v>
      </c>
      <c r="K52" s="11">
        <v>10538209</v>
      </c>
      <c r="L52" s="18">
        <v>10336454</v>
      </c>
      <c r="M52" s="10">
        <v>10376088</v>
      </c>
      <c r="N52" s="29">
        <v>10974159</v>
      </c>
      <c r="O52" s="12">
        <v>10911328</v>
      </c>
      <c r="P52" s="10">
        <v>11916179</v>
      </c>
      <c r="Q52" s="11">
        <v>11916179</v>
      </c>
      <c r="R52" s="12">
        <v>11449436</v>
      </c>
      <c r="S52" s="10">
        <v>12856356</v>
      </c>
      <c r="T52" s="11">
        <v>12579629</v>
      </c>
      <c r="U52" s="46">
        <v>12939855</v>
      </c>
      <c r="V52" s="10">
        <v>14042372</v>
      </c>
      <c r="W52" s="12">
        <v>14489806</v>
      </c>
      <c r="X52" s="86">
        <v>14806477</v>
      </c>
      <c r="Y52" s="12"/>
    </row>
    <row r="53" spans="1:25" ht="12.75">
      <c r="A53" s="35" t="s">
        <v>22</v>
      </c>
      <c r="B53" s="3"/>
      <c r="C53" s="14">
        <v>0</v>
      </c>
      <c r="D53" s="4">
        <v>0</v>
      </c>
      <c r="E53" s="14">
        <v>0</v>
      </c>
      <c r="F53" s="4">
        <v>0</v>
      </c>
      <c r="G53" s="14">
        <v>0</v>
      </c>
      <c r="H53" s="4">
        <v>0</v>
      </c>
      <c r="I53" s="4">
        <v>0</v>
      </c>
      <c r="J53" s="13">
        <v>0</v>
      </c>
      <c r="K53" s="4">
        <v>0</v>
      </c>
      <c r="L53" s="19">
        <v>238345</v>
      </c>
      <c r="M53" s="13">
        <v>73992</v>
      </c>
      <c r="N53" s="4">
        <v>77017</v>
      </c>
      <c r="O53" s="14">
        <v>424996</v>
      </c>
      <c r="P53" s="13">
        <v>100729</v>
      </c>
      <c r="Q53" s="4">
        <v>100729</v>
      </c>
      <c r="R53" s="14">
        <v>2491779</v>
      </c>
      <c r="S53" s="13">
        <v>115286</v>
      </c>
      <c r="T53" s="4">
        <v>113850</v>
      </c>
      <c r="U53" s="49">
        <v>2326974</v>
      </c>
      <c r="V53" s="13">
        <v>126487</v>
      </c>
      <c r="W53" s="14">
        <v>1484973</v>
      </c>
      <c r="X53" s="91">
        <f>1339802+239355</f>
        <v>1579157</v>
      </c>
      <c r="Y53" s="14"/>
    </row>
    <row r="54" spans="1:25" ht="12.75">
      <c r="A54" s="33" t="s">
        <v>36</v>
      </c>
      <c r="B54" s="39"/>
      <c r="C54" s="22">
        <f>SUM(C37:C53)</f>
        <v>292063131</v>
      </c>
      <c r="D54" s="21">
        <f>SUM(D37:D53)</f>
        <v>304993572</v>
      </c>
      <c r="E54" s="22">
        <f>SUM(E37:E53)</f>
        <v>311931797</v>
      </c>
      <c r="F54" s="21">
        <f>SUM(F37:F53)</f>
        <v>316848073.029293</v>
      </c>
      <c r="G54" s="22">
        <f>SUM(G37:G53)+1</f>
        <v>323225463.02734363</v>
      </c>
      <c r="H54" s="21">
        <f>SUM(H37:H53)-1+1-1+1</f>
        <v>330342688.0380169</v>
      </c>
      <c r="I54" s="21">
        <f>SUM(I37:I53)-1+1-1</f>
        <v>337388995.0277029</v>
      </c>
      <c r="J54" s="20">
        <f>SUM(J37:J53)-1+1-1</f>
        <v>344875102</v>
      </c>
      <c r="K54" s="21">
        <f>SUM(K37:K53)-1+1-1</f>
        <v>343769433.04206073</v>
      </c>
      <c r="L54" s="22">
        <f>SUM(L37:L53)-1+1</f>
        <v>360684955.0512611</v>
      </c>
      <c r="M54" s="20">
        <f>SUM(M37:M53)</f>
        <v>350230107.0109809</v>
      </c>
      <c r="N54" s="21">
        <f>SUM(N37:N53)-1</f>
        <v>358820642.0313595</v>
      </c>
      <c r="O54" s="22">
        <f>SUM(O37:O53)-1</f>
        <v>364376058.02949685</v>
      </c>
      <c r="P54" s="20">
        <f>SUM(P37:P53)</f>
        <v>363894984.0391354</v>
      </c>
      <c r="Q54" s="21">
        <f>SUM(Q37:Q53)</f>
        <v>364935344.02349746</v>
      </c>
      <c r="R54" s="12">
        <f>SUM(R37:R53)</f>
        <v>373525169.0181129</v>
      </c>
      <c r="S54" s="10">
        <f>SUM(S37:S53)</f>
        <v>376706302.0286104</v>
      </c>
      <c r="T54" s="11">
        <f>SUM(T37:T53)</f>
        <v>377185249.02511793</v>
      </c>
      <c r="U54" s="11">
        <f>SUM(U37:U53)+1</f>
        <v>409713600.02726316</v>
      </c>
      <c r="V54" s="52">
        <f>SUM(V37:V53)</f>
        <v>386313313.0340692</v>
      </c>
      <c r="W54" s="53">
        <f>SUM(W37:W53)</f>
        <v>397192695.0466362</v>
      </c>
      <c r="X54" s="84">
        <f>SUM(X37:X53)</f>
        <v>410224617.0427971</v>
      </c>
      <c r="Y54" s="53">
        <f>SUM(Y37:Y53)</f>
        <v>-1</v>
      </c>
    </row>
    <row r="55" spans="1:25" ht="12.75">
      <c r="A55" s="36" t="s">
        <v>24</v>
      </c>
      <c r="B55" s="39"/>
      <c r="C55" s="17">
        <v>-34265294</v>
      </c>
      <c r="D55" s="16">
        <v>-34948791</v>
      </c>
      <c r="E55" s="17">
        <v>-34613376</v>
      </c>
      <c r="F55" s="16">
        <v>-37183791</v>
      </c>
      <c r="G55" s="17">
        <v>-38207451</v>
      </c>
      <c r="H55" s="16">
        <v>-38290034</v>
      </c>
      <c r="I55" s="24">
        <v>-39343388</v>
      </c>
      <c r="J55" s="23">
        <v>-39628960</v>
      </c>
      <c r="K55" s="24">
        <v>-39238945</v>
      </c>
      <c r="L55" s="25">
        <v>-41458653</v>
      </c>
      <c r="M55" s="15">
        <v>-41606430</v>
      </c>
      <c r="N55" s="24">
        <v>-41125632</v>
      </c>
      <c r="O55" s="17">
        <v>-43660318</v>
      </c>
      <c r="P55" s="15">
        <v>-43654445</v>
      </c>
      <c r="Q55" s="24">
        <v>-43864445</v>
      </c>
      <c r="R55" s="17">
        <v>-40023907</v>
      </c>
      <c r="S55" s="15">
        <f>-470000-43861339</f>
        <v>-44331339</v>
      </c>
      <c r="T55" s="16">
        <f>-620000-46010663-959000</f>
        <v>-47589663</v>
      </c>
      <c r="U55" s="16">
        <v>-41387633</v>
      </c>
      <c r="V55" s="15">
        <v>-46587497</v>
      </c>
      <c r="W55" s="17">
        <v>-47619622</v>
      </c>
      <c r="X55" s="89">
        <f>+X24</f>
        <v>-45672798.5</v>
      </c>
      <c r="Y55" s="17"/>
    </row>
    <row r="56" spans="1:25" ht="12.75">
      <c r="A56" s="35" t="s">
        <v>37</v>
      </c>
      <c r="B56" s="3"/>
      <c r="C56" s="28">
        <f aca="true" t="shared" si="9" ref="C56:T56">SUM(C54:C55)</f>
        <v>257797837</v>
      </c>
      <c r="D56" s="27">
        <f t="shared" si="9"/>
        <v>270044781</v>
      </c>
      <c r="E56" s="28">
        <f t="shared" si="9"/>
        <v>277318421</v>
      </c>
      <c r="F56" s="27">
        <f t="shared" si="9"/>
        <v>279664282.029293</v>
      </c>
      <c r="G56" s="28">
        <f t="shared" si="9"/>
        <v>285018012.02734363</v>
      </c>
      <c r="H56" s="27">
        <f t="shared" si="9"/>
        <v>292052654.0380169</v>
      </c>
      <c r="I56" s="27">
        <f t="shared" si="9"/>
        <v>298045607.0277029</v>
      </c>
      <c r="J56" s="26">
        <f t="shared" si="9"/>
        <v>305246142</v>
      </c>
      <c r="K56" s="27">
        <f t="shared" si="9"/>
        <v>304530488.04206073</v>
      </c>
      <c r="L56" s="28">
        <f t="shared" si="9"/>
        <v>319226302.0512611</v>
      </c>
      <c r="M56" s="26">
        <f>SUM(M54:M55)</f>
        <v>308623677.0109809</v>
      </c>
      <c r="N56" s="27">
        <f t="shared" si="9"/>
        <v>317695010.0313595</v>
      </c>
      <c r="O56" s="28">
        <f t="shared" si="9"/>
        <v>320715740.02949685</v>
      </c>
      <c r="P56" s="26">
        <f t="shared" si="9"/>
        <v>320240539.0391354</v>
      </c>
      <c r="Q56" s="27">
        <f t="shared" si="9"/>
        <v>321070899.02349746</v>
      </c>
      <c r="R56" s="14">
        <f t="shared" si="9"/>
        <v>333501262.0181129</v>
      </c>
      <c r="S56" s="13">
        <f t="shared" si="9"/>
        <v>332374963.0286104</v>
      </c>
      <c r="T56" s="4">
        <f t="shared" si="9"/>
        <v>329595586.02511793</v>
      </c>
      <c r="U56" s="4">
        <f>SUM(U54:U55)</f>
        <v>368325967.02726316</v>
      </c>
      <c r="V56" s="13">
        <f>SUM(V54:V55)</f>
        <v>339725816.0340692</v>
      </c>
      <c r="W56" s="14">
        <f>SUM(W54:W55)</f>
        <v>349573073.0466362</v>
      </c>
      <c r="X56" s="91">
        <f>SUM(X54:X55)</f>
        <v>364551818.5427971</v>
      </c>
      <c r="Y56" s="14">
        <f>SUM(Y54:Y55)</f>
        <v>-1</v>
      </c>
    </row>
    <row r="57" spans="1:24" ht="12.75">
      <c r="A57" s="57"/>
      <c r="B57" s="39"/>
      <c r="D57" s="39"/>
      <c r="F57" s="39"/>
      <c r="G57" s="39"/>
      <c r="H57" s="71"/>
      <c r="I57" s="39"/>
      <c r="J57" s="71"/>
      <c r="K57" s="39"/>
      <c r="L57" s="39"/>
      <c r="M57" s="71"/>
      <c r="N57" s="39"/>
      <c r="O57" s="6"/>
      <c r="P57" s="72"/>
      <c r="Q57" s="39"/>
      <c r="R57" s="39"/>
      <c r="S57" s="71"/>
      <c r="T57" s="6"/>
      <c r="V57" s="71"/>
      <c r="X57" s="92"/>
    </row>
    <row r="58" spans="1:25" ht="12.75">
      <c r="A58" s="62" t="s">
        <v>51</v>
      </c>
      <c r="B58" s="63"/>
      <c r="C58" s="68"/>
      <c r="D58" s="63"/>
      <c r="E58" s="68"/>
      <c r="F58" s="66">
        <f>(+F56-D56)/D56</f>
        <v>0.035621873504354085</v>
      </c>
      <c r="G58" s="66">
        <f>(+G56-E56)/E56</f>
        <v>0.027764441321925855</v>
      </c>
      <c r="H58" s="65">
        <f>(+H56-F56)/F56</f>
        <v>0.04429729788456258</v>
      </c>
      <c r="I58" s="66">
        <f>(+I56-G56)/G56</f>
        <v>0.04570797090223713</v>
      </c>
      <c r="J58" s="64"/>
      <c r="K58" s="66">
        <f aca="true" t="shared" si="10" ref="K58:W58">(+K56-H56)/H56</f>
        <v>0.04272460404492527</v>
      </c>
      <c r="L58" s="66">
        <f t="shared" si="10"/>
        <v>0.07106528170230499</v>
      </c>
      <c r="M58" s="65">
        <f t="shared" si="10"/>
        <v>0.011064955608778518</v>
      </c>
      <c r="N58" s="66">
        <f t="shared" si="10"/>
        <v>0.04322891305214906</v>
      </c>
      <c r="O58" s="66">
        <f t="shared" si="10"/>
        <v>0.0046657746202772125</v>
      </c>
      <c r="P58" s="65">
        <f t="shared" si="10"/>
        <v>0.03764086456575126</v>
      </c>
      <c r="Q58" s="66">
        <f t="shared" si="10"/>
        <v>0.010626194575120132</v>
      </c>
      <c r="R58" s="66">
        <f t="shared" si="10"/>
        <v>0.03986558934538149</v>
      </c>
      <c r="S58" s="65">
        <f t="shared" si="10"/>
        <v>0.03789159244449095</v>
      </c>
      <c r="T58" s="66">
        <f t="shared" si="10"/>
        <v>0.02655079307264342</v>
      </c>
      <c r="U58" s="66">
        <f t="shared" si="10"/>
        <v>0.10442150892748013</v>
      </c>
      <c r="V58" s="65">
        <f t="shared" si="10"/>
        <v>0.022116145387358857</v>
      </c>
      <c r="W58" s="67">
        <f t="shared" si="10"/>
        <v>0.0606121194232129</v>
      </c>
      <c r="X58" s="85">
        <f>(+X56-W56)/W56</f>
        <v>0.04284868215282292</v>
      </c>
      <c r="Y58" s="67">
        <f>(+Y56-V56)/V56</f>
        <v>-1.0000000029435503</v>
      </c>
    </row>
    <row r="59" spans="1:25" s="39" customFormat="1" ht="13.5" thickBot="1">
      <c r="A59" s="69"/>
      <c r="C59" s="40"/>
      <c r="E59" s="40"/>
      <c r="H59" s="30"/>
      <c r="J59" s="30"/>
      <c r="M59" s="30"/>
      <c r="O59" s="6"/>
      <c r="P59" s="5"/>
      <c r="S59" s="30"/>
      <c r="T59" s="6"/>
      <c r="V59" s="30"/>
      <c r="W59" s="40"/>
      <c r="X59" s="34"/>
      <c r="Y59" s="40"/>
    </row>
    <row r="60" spans="1:25" s="54" customFormat="1" ht="14.25" thickBot="1" thickTop="1">
      <c r="A60" s="58" t="s">
        <v>53</v>
      </c>
      <c r="B60" s="59"/>
      <c r="C60" s="94"/>
      <c r="D60" s="59"/>
      <c r="E60" s="94"/>
      <c r="F60" s="60"/>
      <c r="G60" s="59"/>
      <c r="H60" s="81"/>
      <c r="I60" s="59"/>
      <c r="J60" s="107"/>
      <c r="K60" s="60">
        <v>0.03</v>
      </c>
      <c r="L60" s="60">
        <v>0.03</v>
      </c>
      <c r="M60" s="81">
        <v>0.018</v>
      </c>
      <c r="N60" s="60">
        <v>0.017</v>
      </c>
      <c r="O60" s="60">
        <v>0.017</v>
      </c>
      <c r="P60" s="81">
        <v>0.026</v>
      </c>
      <c r="Q60" s="60">
        <v>0.031</v>
      </c>
      <c r="R60" s="60">
        <v>0.031</v>
      </c>
      <c r="S60" s="81">
        <v>0.026</v>
      </c>
      <c r="T60" s="60">
        <v>0.034</v>
      </c>
      <c r="U60" s="60">
        <v>0.034</v>
      </c>
      <c r="V60" s="81">
        <v>0.013</v>
      </c>
      <c r="W60" s="61">
        <v>0.028</v>
      </c>
      <c r="X60" s="93">
        <v>0.028</v>
      </c>
      <c r="Y60" s="61"/>
    </row>
    <row r="61" spans="1:24" s="39" customFormat="1" ht="14.25" thickBot="1" thickTop="1">
      <c r="A61" s="55"/>
      <c r="C61" s="40"/>
      <c r="E61" s="40"/>
      <c r="H61" s="30"/>
      <c r="J61" s="30"/>
      <c r="M61" s="30"/>
      <c r="O61" s="6"/>
      <c r="P61" s="5"/>
      <c r="S61" s="30"/>
      <c r="V61" s="30"/>
      <c r="X61" s="34"/>
    </row>
    <row r="62" spans="1:25" s="39" customFormat="1" ht="14.25" thickBot="1" thickTop="1">
      <c r="A62" s="58" t="s">
        <v>52</v>
      </c>
      <c r="B62" s="70"/>
      <c r="C62" s="95"/>
      <c r="D62" s="70"/>
      <c r="E62" s="95"/>
      <c r="F62" s="60">
        <f>+((F6+F14+F15+F24)-(D6+D14+D15+D24))/(D6+D14+D15+D24)</f>
        <v>0.05722196405254693</v>
      </c>
      <c r="G62" s="60">
        <f>+((G6+G14+G15+G24)-(E6+E14+E15+E24))/(E6+E14+E15+E24)</f>
        <v>0.06802632526046293</v>
      </c>
      <c r="H62" s="81">
        <f>+((H6+H14+H15+H24)-(F6+F14+F15+F24))/(F6+F14+F15+F24)</f>
        <v>0.031126301270484533</v>
      </c>
      <c r="I62" s="60">
        <f>+((I6+I14+I15+I24)-(G6+G14+G15+G24))/(G6+G14+G15+G24)</f>
        <v>0.028379378735219073</v>
      </c>
      <c r="J62" s="108"/>
      <c r="K62" s="60">
        <f aca="true" t="shared" si="11" ref="K62:W62">+((K6+K14+K15+K24)-(H6+H14+H15+H24))/(H6+H14+H15+H24)</f>
        <v>0.039354747871151737</v>
      </c>
      <c r="L62" s="60">
        <f t="shared" si="11"/>
        <v>0.02954071276091565</v>
      </c>
      <c r="M62" s="81">
        <f t="shared" si="11"/>
        <v>0.011647292479068488</v>
      </c>
      <c r="N62" s="60">
        <f t="shared" si="11"/>
        <v>0.03925327314849019</v>
      </c>
      <c r="O62" s="60">
        <f t="shared" si="11"/>
        <v>0.013069907447356411</v>
      </c>
      <c r="P62" s="81">
        <f t="shared" si="11"/>
        <v>0.03353661169145803</v>
      </c>
      <c r="Q62" s="60">
        <f t="shared" si="11"/>
        <v>0.01232216020217101</v>
      </c>
      <c r="R62" s="60">
        <f t="shared" si="11"/>
        <v>0.017330271901799553</v>
      </c>
      <c r="S62" s="81">
        <f t="shared" si="11"/>
        <v>0.03355502959709609</v>
      </c>
      <c r="T62" s="60">
        <f t="shared" si="11"/>
        <v>0.025660935052079836</v>
      </c>
      <c r="U62" s="60">
        <f t="shared" si="11"/>
        <v>0.030060287665704066</v>
      </c>
      <c r="V62" s="81">
        <f t="shared" si="11"/>
        <v>0.017831569428251415</v>
      </c>
      <c r="W62" s="61">
        <f t="shared" si="11"/>
        <v>0.03550225457196652</v>
      </c>
      <c r="X62" s="93">
        <f>+((X6+X14+X15+X24)-(W6+W14+W15+W24))/(W6+W14+W15+W24)</f>
        <v>0.04849635803672039</v>
      </c>
      <c r="Y62" s="61">
        <f>+((Y6+Y14+Y15+Y24)-(V6+V14+V15+V24))/(V6+V14+V15+V24)</f>
        <v>-1</v>
      </c>
    </row>
    <row r="63" spans="1:24" s="39" customFormat="1" ht="13.5" thickTop="1">
      <c r="A63" s="55"/>
      <c r="C63" s="40"/>
      <c r="E63" s="40"/>
      <c r="G63" s="40"/>
      <c r="X63" s="40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4" s="39" customFormat="1" ht="12.75">
      <c r="A151" s="55"/>
      <c r="C151" s="40"/>
      <c r="E151" s="40"/>
      <c r="G151" s="40"/>
      <c r="X151" s="40"/>
    </row>
    <row r="152" spans="1:24" s="39" customFormat="1" ht="12.75">
      <c r="A152" s="55"/>
      <c r="C152" s="40"/>
      <c r="E152" s="40"/>
      <c r="G152" s="40"/>
      <c r="X152" s="40"/>
    </row>
    <row r="153" spans="1:24" s="39" customFormat="1" ht="12.75">
      <c r="A153" s="55"/>
      <c r="C153" s="40"/>
      <c r="E153" s="40"/>
      <c r="G153" s="40"/>
      <c r="X153" s="40"/>
    </row>
    <row r="154" spans="1:24" s="39" customFormat="1" ht="12.75">
      <c r="A154" s="55"/>
      <c r="C154" s="40"/>
      <c r="E154" s="40"/>
      <c r="G154" s="40"/>
      <c r="X154" s="40"/>
    </row>
    <row r="155" spans="1:24" s="39" customFormat="1" ht="12.75">
      <c r="A155" s="55"/>
      <c r="C155" s="40"/>
      <c r="E155" s="40"/>
      <c r="G155" s="40"/>
      <c r="X155" s="40"/>
    </row>
    <row r="156" spans="1:24" s="39" customFormat="1" ht="12.75">
      <c r="A156" s="55"/>
      <c r="C156" s="40"/>
      <c r="E156" s="40"/>
      <c r="G156" s="40"/>
      <c r="X156" s="40"/>
    </row>
    <row r="157" spans="1:24" s="39" customFormat="1" ht="12.75">
      <c r="A157" s="55"/>
      <c r="C157" s="40"/>
      <c r="E157" s="40"/>
      <c r="G157" s="40"/>
      <c r="X157" s="40"/>
    </row>
    <row r="158" spans="1:24" s="39" customFormat="1" ht="12.75">
      <c r="A158" s="55"/>
      <c r="C158" s="40"/>
      <c r="E158" s="40"/>
      <c r="G158" s="40"/>
      <c r="X158" s="40"/>
    </row>
    <row r="159" spans="1:24" s="39" customFormat="1" ht="12.75">
      <c r="A159" s="55"/>
      <c r="C159" s="40"/>
      <c r="E159" s="40"/>
      <c r="G159" s="40"/>
      <c r="X159" s="40"/>
    </row>
    <row r="160" spans="1:24" s="39" customFormat="1" ht="12.75">
      <c r="A160" s="55"/>
      <c r="C160" s="40"/>
      <c r="E160" s="40"/>
      <c r="G160" s="40"/>
      <c r="X160" s="40"/>
    </row>
    <row r="161" spans="1:24" s="39" customFormat="1" ht="12.75">
      <c r="A161" s="55"/>
      <c r="C161" s="40"/>
      <c r="E161" s="40"/>
      <c r="G161" s="40"/>
      <c r="X161" s="40"/>
    </row>
    <row r="162" spans="1:24" s="39" customFormat="1" ht="12.75">
      <c r="A162" s="55"/>
      <c r="C162" s="40"/>
      <c r="E162" s="40"/>
      <c r="G162" s="40"/>
      <c r="X162" s="40"/>
    </row>
    <row r="163" spans="1:24" s="39" customFormat="1" ht="12.75">
      <c r="A163" s="55"/>
      <c r="C163" s="40"/>
      <c r="E163" s="40"/>
      <c r="G163" s="40"/>
      <c r="X163" s="40"/>
    </row>
    <row r="164" spans="1:24" s="39" customFormat="1" ht="12.75">
      <c r="A164" s="55"/>
      <c r="C164" s="40"/>
      <c r="E164" s="40"/>
      <c r="G164" s="40"/>
      <c r="X164" s="40"/>
    </row>
    <row r="165" spans="1:24" s="39" customFormat="1" ht="12.75">
      <c r="A165" s="55"/>
      <c r="C165" s="40"/>
      <c r="E165" s="40"/>
      <c r="G165" s="40"/>
      <c r="X165" s="40"/>
    </row>
    <row r="166" spans="1:24" s="39" customFormat="1" ht="12.75">
      <c r="A166" s="55"/>
      <c r="C166" s="40"/>
      <c r="E166" s="40"/>
      <c r="G166" s="40"/>
      <c r="X166" s="40"/>
    </row>
    <row r="167" spans="1:24" s="39" customFormat="1" ht="12.75">
      <c r="A167" s="55"/>
      <c r="C167" s="40"/>
      <c r="E167" s="40"/>
      <c r="G167" s="40"/>
      <c r="X167" s="40"/>
    </row>
    <row r="168" spans="1:24" s="39" customFormat="1" ht="12.75">
      <c r="A168" s="55"/>
      <c r="C168" s="40"/>
      <c r="E168" s="40"/>
      <c r="G168" s="40"/>
      <c r="X168" s="40"/>
    </row>
    <row r="169" spans="1:24" s="39" customFormat="1" ht="12.75">
      <c r="A169" s="55"/>
      <c r="C169" s="40"/>
      <c r="E169" s="40"/>
      <c r="G169" s="40"/>
      <c r="X169" s="40"/>
    </row>
    <row r="170" spans="1:24" s="39" customFormat="1" ht="12.75">
      <c r="A170" s="55"/>
      <c r="C170" s="40"/>
      <c r="E170" s="40"/>
      <c r="G170" s="40"/>
      <c r="X170" s="40"/>
    </row>
    <row r="171" spans="1:24" s="39" customFormat="1" ht="12.75">
      <c r="A171" s="55"/>
      <c r="C171" s="40"/>
      <c r="E171" s="40"/>
      <c r="G171" s="40"/>
      <c r="X171" s="40"/>
    </row>
    <row r="172" spans="1:24" s="39" customFormat="1" ht="12.75">
      <c r="A172" s="55"/>
      <c r="C172" s="40"/>
      <c r="E172" s="40"/>
      <c r="G172" s="40"/>
      <c r="X172" s="40"/>
    </row>
    <row r="173" spans="1:24" s="39" customFormat="1" ht="12.75">
      <c r="A173" s="55"/>
      <c r="C173" s="40"/>
      <c r="E173" s="40"/>
      <c r="G173" s="40"/>
      <c r="X173" s="40"/>
    </row>
    <row r="174" spans="1:24" s="39" customFormat="1" ht="12.75">
      <c r="A174" s="55"/>
      <c r="C174" s="40"/>
      <c r="E174" s="40"/>
      <c r="G174" s="40"/>
      <c r="X174" s="40"/>
    </row>
    <row r="175" spans="1:24" s="39" customFormat="1" ht="12.75">
      <c r="A175" s="55"/>
      <c r="C175" s="40"/>
      <c r="E175" s="40"/>
      <c r="G175" s="40"/>
      <c r="X175" s="40"/>
    </row>
    <row r="176" spans="1:24" s="39" customFormat="1" ht="12.75">
      <c r="A176" s="55"/>
      <c r="C176" s="40"/>
      <c r="E176" s="40"/>
      <c r="G176" s="40"/>
      <c r="X176" s="40"/>
    </row>
    <row r="177" spans="1:24" s="39" customFormat="1" ht="12.75">
      <c r="A177" s="55"/>
      <c r="C177" s="40"/>
      <c r="E177" s="40"/>
      <c r="G177" s="40"/>
      <c r="X177" s="40"/>
    </row>
    <row r="178" spans="1:24" s="39" customFormat="1" ht="12.75">
      <c r="A178" s="55"/>
      <c r="C178" s="40"/>
      <c r="E178" s="40"/>
      <c r="G178" s="40"/>
      <c r="X178" s="40"/>
    </row>
    <row r="179" spans="1:24" s="39" customFormat="1" ht="12.75">
      <c r="A179" s="55"/>
      <c r="C179" s="40"/>
      <c r="E179" s="40"/>
      <c r="G179" s="40"/>
      <c r="X179" s="40"/>
    </row>
    <row r="180" spans="1:24" s="39" customFormat="1" ht="12.75">
      <c r="A180" s="55"/>
      <c r="C180" s="40"/>
      <c r="E180" s="40"/>
      <c r="G180" s="40"/>
      <c r="X180" s="40"/>
    </row>
    <row r="181" spans="1:24" s="39" customFormat="1" ht="12.75">
      <c r="A181" s="55"/>
      <c r="C181" s="40"/>
      <c r="E181" s="40"/>
      <c r="G181" s="40"/>
      <c r="X181" s="40"/>
    </row>
    <row r="182" spans="1:24" s="39" customFormat="1" ht="12.75">
      <c r="A182" s="55"/>
      <c r="C182" s="40"/>
      <c r="E182" s="40"/>
      <c r="G182" s="40"/>
      <c r="X182" s="40"/>
    </row>
    <row r="183" spans="1:24" s="39" customFormat="1" ht="12.75">
      <c r="A183" s="55"/>
      <c r="C183" s="40"/>
      <c r="E183" s="40"/>
      <c r="G183" s="40"/>
      <c r="X183" s="40"/>
    </row>
    <row r="184" spans="1:24" s="39" customFormat="1" ht="12.75">
      <c r="A184" s="55"/>
      <c r="C184" s="40"/>
      <c r="E184" s="40"/>
      <c r="G184" s="40"/>
      <c r="X184" s="40"/>
    </row>
    <row r="185" spans="1:24" s="39" customFormat="1" ht="12.75">
      <c r="A185" s="55"/>
      <c r="C185" s="40"/>
      <c r="E185" s="40"/>
      <c r="G185" s="40"/>
      <c r="X185" s="40"/>
    </row>
    <row r="186" spans="1:24" s="39" customFormat="1" ht="12.75">
      <c r="A186" s="55"/>
      <c r="C186" s="40"/>
      <c r="E186" s="40"/>
      <c r="G186" s="40"/>
      <c r="X186" s="40"/>
    </row>
    <row r="187" spans="1:24" s="39" customFormat="1" ht="12.75">
      <c r="A187" s="55"/>
      <c r="C187" s="40"/>
      <c r="E187" s="40"/>
      <c r="G187" s="40"/>
      <c r="X187" s="40"/>
    </row>
    <row r="188" spans="1:24" s="39" customFormat="1" ht="12.75">
      <c r="A188" s="55"/>
      <c r="C188" s="40"/>
      <c r="E188" s="40"/>
      <c r="G188" s="40"/>
      <c r="X188" s="40"/>
    </row>
    <row r="189" spans="1:24" s="39" customFormat="1" ht="12.75">
      <c r="A189" s="55"/>
      <c r="C189" s="40"/>
      <c r="E189" s="40"/>
      <c r="G189" s="40"/>
      <c r="X189" s="40"/>
    </row>
    <row r="190" spans="1:24" s="39" customFormat="1" ht="12.75">
      <c r="A190" s="55"/>
      <c r="C190" s="40"/>
      <c r="E190" s="40"/>
      <c r="G190" s="40"/>
      <c r="X190" s="40"/>
    </row>
    <row r="191" spans="1:24" s="39" customFormat="1" ht="12.75">
      <c r="A191" s="55"/>
      <c r="C191" s="40"/>
      <c r="E191" s="40"/>
      <c r="G191" s="40"/>
      <c r="X191" s="40"/>
    </row>
    <row r="192" spans="1:24" s="39" customFormat="1" ht="12.75">
      <c r="A192" s="55"/>
      <c r="C192" s="40"/>
      <c r="E192" s="40"/>
      <c r="G192" s="40"/>
      <c r="X192" s="40"/>
    </row>
    <row r="193" spans="1:24" s="39" customFormat="1" ht="12.75">
      <c r="A193" s="55"/>
      <c r="C193" s="40"/>
      <c r="E193" s="40"/>
      <c r="G193" s="40"/>
      <c r="X193" s="40"/>
    </row>
    <row r="194" spans="1:24" s="39" customFormat="1" ht="12.75">
      <c r="A194" s="55"/>
      <c r="C194" s="40"/>
      <c r="E194" s="40"/>
      <c r="G194" s="40"/>
      <c r="X194" s="40"/>
    </row>
    <row r="195" spans="1:24" s="39" customFormat="1" ht="12.75">
      <c r="A195" s="55"/>
      <c r="C195" s="40"/>
      <c r="E195" s="40"/>
      <c r="G195" s="40"/>
      <c r="X195" s="40"/>
    </row>
    <row r="196" spans="1:24" s="39" customFormat="1" ht="12.75">
      <c r="A196" s="55"/>
      <c r="C196" s="40"/>
      <c r="E196" s="40"/>
      <c r="G196" s="40"/>
      <c r="X196" s="40"/>
    </row>
    <row r="197" spans="1:24" s="39" customFormat="1" ht="12.75">
      <c r="A197" s="55"/>
      <c r="C197" s="40"/>
      <c r="E197" s="40"/>
      <c r="G197" s="40"/>
      <c r="X197" s="40"/>
    </row>
    <row r="198" spans="1:24" s="39" customFormat="1" ht="12.75">
      <c r="A198" s="55"/>
      <c r="C198" s="40"/>
      <c r="E198" s="40"/>
      <c r="G198" s="40"/>
      <c r="X198" s="40"/>
    </row>
    <row r="199" spans="1:24" s="39" customFormat="1" ht="12.75">
      <c r="A199" s="55"/>
      <c r="C199" s="40"/>
      <c r="E199" s="40"/>
      <c r="G199" s="40"/>
      <c r="X199" s="40"/>
    </row>
    <row r="200" spans="1:24" s="39" customFormat="1" ht="12.75">
      <c r="A200" s="55"/>
      <c r="C200" s="40"/>
      <c r="E200" s="40"/>
      <c r="G200" s="40"/>
      <c r="X200" s="40"/>
    </row>
    <row r="201" spans="1:24" s="39" customFormat="1" ht="12.75">
      <c r="A201" s="55"/>
      <c r="C201" s="40"/>
      <c r="E201" s="40"/>
      <c r="G201" s="40"/>
      <c r="X201" s="40"/>
    </row>
    <row r="202" spans="1:24" s="39" customFormat="1" ht="12.75">
      <c r="A202" s="55"/>
      <c r="C202" s="40"/>
      <c r="E202" s="40"/>
      <c r="G202" s="40"/>
      <c r="X202" s="40"/>
    </row>
    <row r="203" spans="1:24" s="39" customFormat="1" ht="12.75">
      <c r="A203" s="55"/>
      <c r="C203" s="40"/>
      <c r="E203" s="40"/>
      <c r="G203" s="40"/>
      <c r="X203" s="40"/>
    </row>
    <row r="204" spans="1:24" s="39" customFormat="1" ht="12.75">
      <c r="A204" s="55"/>
      <c r="C204" s="40"/>
      <c r="E204" s="40"/>
      <c r="G204" s="40"/>
      <c r="X204" s="40"/>
    </row>
    <row r="205" spans="1:24" s="39" customFormat="1" ht="12.75">
      <c r="A205" s="55"/>
      <c r="C205" s="40"/>
      <c r="E205" s="40"/>
      <c r="G205" s="40"/>
      <c r="X205" s="40"/>
    </row>
    <row r="206" spans="1:24" s="39" customFormat="1" ht="12.75">
      <c r="A206" s="55"/>
      <c r="C206" s="40"/>
      <c r="E206" s="40"/>
      <c r="G206" s="40"/>
      <c r="X206" s="40"/>
    </row>
    <row r="207" spans="1:24" s="39" customFormat="1" ht="12.75">
      <c r="A207" s="55"/>
      <c r="C207" s="40"/>
      <c r="E207" s="40"/>
      <c r="G207" s="40"/>
      <c r="X207" s="40"/>
    </row>
    <row r="208" spans="1:24" s="39" customFormat="1" ht="12.75">
      <c r="A208" s="55"/>
      <c r="C208" s="40"/>
      <c r="E208" s="40"/>
      <c r="G208" s="40"/>
      <c r="X208" s="40"/>
    </row>
    <row r="209" spans="1:24" s="39" customFormat="1" ht="12.75">
      <c r="A209" s="55"/>
      <c r="C209" s="40"/>
      <c r="E209" s="40"/>
      <c r="G209" s="40"/>
      <c r="X209" s="40"/>
    </row>
    <row r="210" spans="1:24" s="39" customFormat="1" ht="12.75">
      <c r="A210" s="55"/>
      <c r="C210" s="40"/>
      <c r="E210" s="40"/>
      <c r="G210" s="40"/>
      <c r="X210" s="40"/>
    </row>
    <row r="211" spans="1:24" s="39" customFormat="1" ht="12.75">
      <c r="A211" s="55"/>
      <c r="C211" s="40"/>
      <c r="E211" s="40"/>
      <c r="G211" s="40"/>
      <c r="X211" s="40"/>
    </row>
    <row r="212" spans="1:24" s="39" customFormat="1" ht="12.75">
      <c r="A212" s="55"/>
      <c r="C212" s="40"/>
      <c r="E212" s="40"/>
      <c r="G212" s="40"/>
      <c r="X212" s="40"/>
    </row>
    <row r="213" spans="1:24" s="39" customFormat="1" ht="12.75">
      <c r="A213" s="55"/>
      <c r="C213" s="40"/>
      <c r="E213" s="40"/>
      <c r="G213" s="40"/>
      <c r="X213" s="40"/>
    </row>
    <row r="214" spans="1:24" s="39" customFormat="1" ht="12.75">
      <c r="A214" s="55"/>
      <c r="C214" s="40"/>
      <c r="E214" s="40"/>
      <c r="G214" s="40"/>
      <c r="X214" s="40"/>
    </row>
    <row r="215" spans="1:24" s="39" customFormat="1" ht="12.75">
      <c r="A215" s="55"/>
      <c r="C215" s="40"/>
      <c r="E215" s="40"/>
      <c r="G215" s="40"/>
      <c r="X215" s="40"/>
    </row>
    <row r="216" spans="1:24" s="39" customFormat="1" ht="12.75">
      <c r="A216" s="55"/>
      <c r="C216" s="40"/>
      <c r="E216" s="40"/>
      <c r="G216" s="40"/>
      <c r="X216" s="40"/>
    </row>
    <row r="217" spans="1:24" s="39" customFormat="1" ht="12.75">
      <c r="A217" s="55"/>
      <c r="C217" s="40"/>
      <c r="E217" s="40"/>
      <c r="G217" s="40"/>
      <c r="X217" s="40"/>
    </row>
    <row r="218" spans="1:24" s="39" customFormat="1" ht="12.75">
      <c r="A218" s="55"/>
      <c r="C218" s="40"/>
      <c r="E218" s="40"/>
      <c r="G218" s="40"/>
      <c r="X218" s="40"/>
    </row>
    <row r="219" spans="1:24" s="39" customFormat="1" ht="12.75">
      <c r="A219" s="55"/>
      <c r="C219" s="40"/>
      <c r="E219" s="40"/>
      <c r="G219" s="40"/>
      <c r="X219" s="40"/>
    </row>
    <row r="220" spans="1:24" s="39" customFormat="1" ht="12.75">
      <c r="A220" s="55"/>
      <c r="C220" s="40"/>
      <c r="E220" s="40"/>
      <c r="G220" s="40"/>
      <c r="X220" s="40"/>
    </row>
    <row r="221" spans="1:24" s="39" customFormat="1" ht="12.75">
      <c r="A221" s="55"/>
      <c r="C221" s="40"/>
      <c r="E221" s="40"/>
      <c r="G221" s="40"/>
      <c r="X221" s="40"/>
    </row>
    <row r="222" spans="1:24" s="39" customFormat="1" ht="12.75">
      <c r="A222" s="55"/>
      <c r="C222" s="40"/>
      <c r="E222" s="40"/>
      <c r="G222" s="40"/>
      <c r="X222" s="40"/>
    </row>
    <row r="223" spans="1:24" s="39" customFormat="1" ht="12.75">
      <c r="A223" s="55"/>
      <c r="C223" s="40"/>
      <c r="E223" s="40"/>
      <c r="G223" s="40"/>
      <c r="X223" s="40"/>
    </row>
    <row r="224" spans="1:24" s="39" customFormat="1" ht="12.75">
      <c r="A224" s="55"/>
      <c r="C224" s="40"/>
      <c r="E224" s="40"/>
      <c r="G224" s="40"/>
      <c r="X224" s="40"/>
    </row>
    <row r="225" spans="1:24" s="39" customFormat="1" ht="12.75">
      <c r="A225" s="55"/>
      <c r="C225" s="40"/>
      <c r="E225" s="40"/>
      <c r="G225" s="40"/>
      <c r="X225" s="40"/>
    </row>
    <row r="226" spans="1:24" s="39" customFormat="1" ht="12.75">
      <c r="A226" s="55"/>
      <c r="C226" s="40"/>
      <c r="E226" s="40"/>
      <c r="G226" s="40"/>
      <c r="X226" s="40"/>
    </row>
    <row r="227" spans="1:24" s="39" customFormat="1" ht="12.75">
      <c r="A227" s="55"/>
      <c r="C227" s="40"/>
      <c r="E227" s="40"/>
      <c r="G227" s="40"/>
      <c r="X227" s="40"/>
    </row>
    <row r="228" spans="1:24" s="39" customFormat="1" ht="12.75">
      <c r="A228" s="55"/>
      <c r="C228" s="40"/>
      <c r="E228" s="40"/>
      <c r="G228" s="40"/>
      <c r="X228" s="40"/>
    </row>
    <row r="229" spans="1:24" s="39" customFormat="1" ht="12.75">
      <c r="A229" s="55"/>
      <c r="C229" s="40"/>
      <c r="E229" s="40"/>
      <c r="G229" s="40"/>
      <c r="X229" s="40"/>
    </row>
    <row r="230" spans="1:24" s="39" customFormat="1" ht="12.75">
      <c r="A230" s="55"/>
      <c r="C230" s="40"/>
      <c r="E230" s="40"/>
      <c r="G230" s="40"/>
      <c r="X230" s="40"/>
    </row>
    <row r="231" spans="1:24" s="39" customFormat="1" ht="12.75">
      <c r="A231" s="55"/>
      <c r="C231" s="40"/>
      <c r="E231" s="40"/>
      <c r="G231" s="40"/>
      <c r="X231" s="40"/>
    </row>
    <row r="232" spans="1:24" s="39" customFormat="1" ht="12.75">
      <c r="A232" s="55"/>
      <c r="C232" s="40"/>
      <c r="E232" s="40"/>
      <c r="G232" s="40"/>
      <c r="X232" s="40"/>
    </row>
    <row r="233" spans="1:24" s="39" customFormat="1" ht="12.75">
      <c r="A233" s="55"/>
      <c r="C233" s="40"/>
      <c r="E233" s="40"/>
      <c r="G233" s="40"/>
      <c r="X233" s="40"/>
    </row>
    <row r="234" spans="1:24" s="39" customFormat="1" ht="12.75">
      <c r="A234" s="55"/>
      <c r="C234" s="40"/>
      <c r="E234" s="40"/>
      <c r="G234" s="40"/>
      <c r="X234" s="40"/>
    </row>
    <row r="235" spans="1:24" s="39" customFormat="1" ht="12.75">
      <c r="A235" s="55"/>
      <c r="C235" s="40"/>
      <c r="E235" s="40"/>
      <c r="G235" s="40"/>
      <c r="X235" s="40"/>
    </row>
    <row r="236" spans="1:24" s="39" customFormat="1" ht="12.75">
      <c r="A236" s="55"/>
      <c r="C236" s="40"/>
      <c r="E236" s="40"/>
      <c r="G236" s="40"/>
      <c r="X236" s="40"/>
    </row>
    <row r="237" spans="1:24" s="39" customFormat="1" ht="12.75">
      <c r="A237" s="55"/>
      <c r="C237" s="40"/>
      <c r="E237" s="40"/>
      <c r="G237" s="40"/>
      <c r="X237" s="40"/>
    </row>
    <row r="238" spans="1:24" s="39" customFormat="1" ht="12.75">
      <c r="A238" s="55"/>
      <c r="C238" s="40"/>
      <c r="E238" s="40"/>
      <c r="G238" s="40"/>
      <c r="X238" s="40"/>
    </row>
    <row r="239" spans="1:24" s="39" customFormat="1" ht="12.75">
      <c r="A239" s="55"/>
      <c r="C239" s="40"/>
      <c r="E239" s="40"/>
      <c r="G239" s="40"/>
      <c r="X239" s="40"/>
    </row>
    <row r="240" spans="1:24" s="39" customFormat="1" ht="12.75">
      <c r="A240" s="55"/>
      <c r="C240" s="40"/>
      <c r="E240" s="40"/>
      <c r="G240" s="40"/>
      <c r="X240" s="40"/>
    </row>
    <row r="241" spans="1:24" s="39" customFormat="1" ht="12.75">
      <c r="A241" s="55"/>
      <c r="C241" s="40"/>
      <c r="E241" s="40"/>
      <c r="G241" s="40"/>
      <c r="X241" s="40"/>
    </row>
    <row r="242" spans="1:24" s="39" customFormat="1" ht="12.75">
      <c r="A242" s="55"/>
      <c r="C242" s="40"/>
      <c r="E242" s="40"/>
      <c r="G242" s="40"/>
      <c r="X242" s="40"/>
    </row>
    <row r="243" spans="1:24" s="39" customFormat="1" ht="12.75">
      <c r="A243" s="55"/>
      <c r="C243" s="40"/>
      <c r="E243" s="40"/>
      <c r="G243" s="40"/>
      <c r="X243" s="40"/>
    </row>
    <row r="244" spans="1:24" s="39" customFormat="1" ht="12.75">
      <c r="A244" s="55"/>
      <c r="C244" s="40"/>
      <c r="E244" s="40"/>
      <c r="G244" s="40"/>
      <c r="X244" s="40"/>
    </row>
    <row r="245" spans="1:24" s="39" customFormat="1" ht="12.75">
      <c r="A245" s="55"/>
      <c r="C245" s="40"/>
      <c r="E245" s="40"/>
      <c r="G245" s="40"/>
      <c r="X245" s="40"/>
    </row>
    <row r="246" spans="1:24" s="39" customFormat="1" ht="12.75">
      <c r="A246" s="55"/>
      <c r="C246" s="40"/>
      <c r="E246" s="40"/>
      <c r="G246" s="40"/>
      <c r="X246" s="40"/>
    </row>
    <row r="247" spans="1:24" s="39" customFormat="1" ht="12.75">
      <c r="A247" s="55"/>
      <c r="C247" s="40"/>
      <c r="E247" s="40"/>
      <c r="G247" s="40"/>
      <c r="X247" s="40"/>
    </row>
    <row r="248" spans="1:24" s="39" customFormat="1" ht="12.75">
      <c r="A248" s="55"/>
      <c r="C248" s="40"/>
      <c r="E248" s="40"/>
      <c r="G248" s="40"/>
      <c r="X248" s="40"/>
    </row>
    <row r="249" spans="1:24" s="39" customFormat="1" ht="12.75">
      <c r="A249" s="55"/>
      <c r="C249" s="40"/>
      <c r="E249" s="40"/>
      <c r="G249" s="40"/>
      <c r="X249" s="40"/>
    </row>
    <row r="250" spans="1:24" s="39" customFormat="1" ht="12.75">
      <c r="A250" s="55"/>
      <c r="C250" s="40"/>
      <c r="E250" s="40"/>
      <c r="G250" s="40"/>
      <c r="X250" s="40"/>
    </row>
    <row r="251" spans="1:24" s="39" customFormat="1" ht="12.75">
      <c r="A251" s="55"/>
      <c r="C251" s="40"/>
      <c r="E251" s="40"/>
      <c r="G251" s="40"/>
      <c r="X251" s="40"/>
    </row>
    <row r="252" spans="1:24" s="39" customFormat="1" ht="12.75">
      <c r="A252" s="55"/>
      <c r="C252" s="40"/>
      <c r="E252" s="40"/>
      <c r="G252" s="40"/>
      <c r="X252" s="40"/>
    </row>
    <row r="253" spans="1:24" s="39" customFormat="1" ht="12.75">
      <c r="A253" s="55"/>
      <c r="C253" s="40"/>
      <c r="E253" s="40"/>
      <c r="G253" s="40"/>
      <c r="X253" s="40"/>
    </row>
    <row r="254" spans="1:24" s="39" customFormat="1" ht="12.75">
      <c r="A254" s="55"/>
      <c r="C254" s="40"/>
      <c r="E254" s="40"/>
      <c r="G254" s="40"/>
      <c r="X254" s="40"/>
    </row>
    <row r="255" spans="1:24" s="39" customFormat="1" ht="12.75">
      <c r="A255" s="55"/>
      <c r="C255" s="40"/>
      <c r="E255" s="40"/>
      <c r="G255" s="40"/>
      <c r="X255" s="40"/>
    </row>
    <row r="256" spans="1:24" s="39" customFormat="1" ht="12.75">
      <c r="A256" s="55"/>
      <c r="C256" s="40"/>
      <c r="E256" s="40"/>
      <c r="G256" s="40"/>
      <c r="X256" s="40"/>
    </row>
    <row r="257" spans="1:24" s="39" customFormat="1" ht="12.75">
      <c r="A257" s="55"/>
      <c r="C257" s="40"/>
      <c r="E257" s="40"/>
      <c r="G257" s="40"/>
      <c r="X257" s="40"/>
    </row>
    <row r="258" spans="1:24" s="39" customFormat="1" ht="12.75">
      <c r="A258" s="55"/>
      <c r="C258" s="40"/>
      <c r="E258" s="40"/>
      <c r="G258" s="40"/>
      <c r="X258" s="40"/>
    </row>
    <row r="259" spans="1:24" s="39" customFormat="1" ht="12.75">
      <c r="A259" s="55"/>
      <c r="C259" s="40"/>
      <c r="E259" s="40"/>
      <c r="G259" s="40"/>
      <c r="X259" s="40"/>
    </row>
    <row r="260" spans="1:24" s="39" customFormat="1" ht="12.75">
      <c r="A260" s="55"/>
      <c r="C260" s="40"/>
      <c r="E260" s="40"/>
      <c r="G260" s="40"/>
      <c r="X260" s="40"/>
    </row>
    <row r="261" spans="1:24" s="39" customFormat="1" ht="12.75">
      <c r="A261" s="55"/>
      <c r="C261" s="40"/>
      <c r="E261" s="40"/>
      <c r="G261" s="40"/>
      <c r="X261" s="40"/>
    </row>
    <row r="262" spans="1:24" s="39" customFormat="1" ht="12.75">
      <c r="A262" s="55"/>
      <c r="C262" s="40"/>
      <c r="E262" s="40"/>
      <c r="G262" s="40"/>
      <c r="X262" s="40"/>
    </row>
    <row r="263" spans="1:24" s="39" customFormat="1" ht="12.75">
      <c r="A263" s="55"/>
      <c r="C263" s="40"/>
      <c r="E263" s="40"/>
      <c r="G263" s="40"/>
      <c r="X263" s="40"/>
    </row>
    <row r="264" spans="1:24" s="39" customFormat="1" ht="12.75">
      <c r="A264" s="55"/>
      <c r="C264" s="40"/>
      <c r="E264" s="40"/>
      <c r="G264" s="40"/>
      <c r="X264" s="40"/>
    </row>
    <row r="265" spans="1:24" s="39" customFormat="1" ht="12.75">
      <c r="A265" s="55"/>
      <c r="C265" s="40"/>
      <c r="E265" s="40"/>
      <c r="G265" s="40"/>
      <c r="X265" s="40"/>
    </row>
    <row r="266" spans="1:24" s="39" customFormat="1" ht="12.75">
      <c r="A266" s="55"/>
      <c r="C266" s="40"/>
      <c r="E266" s="40"/>
      <c r="G266" s="40"/>
      <c r="X266" s="40"/>
    </row>
    <row r="267" spans="1:24" s="39" customFormat="1" ht="12.75">
      <c r="A267" s="55"/>
      <c r="C267" s="40"/>
      <c r="E267" s="40"/>
      <c r="G267" s="40"/>
      <c r="X267" s="40"/>
    </row>
    <row r="268" spans="1:24" s="39" customFormat="1" ht="12.75">
      <c r="A268" s="55"/>
      <c r="C268" s="40"/>
      <c r="E268" s="40"/>
      <c r="G268" s="40"/>
      <c r="X268" s="40"/>
    </row>
    <row r="269" spans="1:24" s="39" customFormat="1" ht="12.75">
      <c r="A269" s="55"/>
      <c r="C269" s="40"/>
      <c r="E269" s="40"/>
      <c r="G269" s="40"/>
      <c r="X269" s="40"/>
    </row>
    <row r="270" spans="1:24" s="39" customFormat="1" ht="12.75">
      <c r="A270" s="55"/>
      <c r="C270" s="40"/>
      <c r="E270" s="40"/>
      <c r="G270" s="40"/>
      <c r="X270" s="40"/>
    </row>
    <row r="271" spans="1:24" s="39" customFormat="1" ht="12.75">
      <c r="A271" s="55"/>
      <c r="C271" s="40"/>
      <c r="E271" s="40"/>
      <c r="G271" s="40"/>
      <c r="X271" s="40"/>
    </row>
    <row r="272" spans="1:24" s="39" customFormat="1" ht="12.75">
      <c r="A272" s="55"/>
      <c r="C272" s="40"/>
      <c r="E272" s="40"/>
      <c r="G272" s="40"/>
      <c r="X272" s="40"/>
    </row>
    <row r="273" spans="1:24" s="39" customFormat="1" ht="12.75">
      <c r="A273" s="55"/>
      <c r="C273" s="40"/>
      <c r="E273" s="40"/>
      <c r="G273" s="40"/>
      <c r="X273" s="40"/>
    </row>
    <row r="274" spans="1:24" s="39" customFormat="1" ht="12.75">
      <c r="A274" s="55"/>
      <c r="C274" s="40"/>
      <c r="E274" s="40"/>
      <c r="G274" s="40"/>
      <c r="X274" s="40"/>
    </row>
    <row r="275" spans="1:24" s="39" customFormat="1" ht="12.75">
      <c r="A275" s="55"/>
      <c r="C275" s="40"/>
      <c r="E275" s="40"/>
      <c r="G275" s="40"/>
      <c r="X275" s="40"/>
    </row>
    <row r="276" spans="1:24" s="39" customFormat="1" ht="12.75">
      <c r="A276" s="55"/>
      <c r="C276" s="40"/>
      <c r="E276" s="40"/>
      <c r="G276" s="40"/>
      <c r="X276" s="40"/>
    </row>
    <row r="277" spans="1:24" s="39" customFormat="1" ht="12.75">
      <c r="A277" s="55"/>
      <c r="C277" s="40"/>
      <c r="E277" s="40"/>
      <c r="G277" s="40"/>
      <c r="X277" s="40"/>
    </row>
    <row r="278" spans="1:24" s="39" customFormat="1" ht="12.75">
      <c r="A278" s="55"/>
      <c r="C278" s="40"/>
      <c r="E278" s="40"/>
      <c r="G278" s="40"/>
      <c r="X278" s="40"/>
    </row>
    <row r="279" spans="1:24" s="39" customFormat="1" ht="12.75">
      <c r="A279" s="55"/>
      <c r="C279" s="40"/>
      <c r="E279" s="40"/>
      <c r="G279" s="40"/>
      <c r="X279" s="40"/>
    </row>
    <row r="280" spans="1:24" s="39" customFormat="1" ht="12.75">
      <c r="A280" s="55"/>
      <c r="C280" s="40"/>
      <c r="E280" s="40"/>
      <c r="G280" s="40"/>
      <c r="X280" s="40"/>
    </row>
    <row r="281" spans="1:24" s="39" customFormat="1" ht="12.75">
      <c r="A281" s="55"/>
      <c r="C281" s="40"/>
      <c r="E281" s="40"/>
      <c r="G281" s="40"/>
      <c r="X281" s="40"/>
    </row>
    <row r="282" spans="1:24" s="39" customFormat="1" ht="12.75">
      <c r="A282" s="55"/>
      <c r="C282" s="40"/>
      <c r="E282" s="40"/>
      <c r="G282" s="40"/>
      <c r="X282" s="40"/>
    </row>
    <row r="283" spans="1:24" s="39" customFormat="1" ht="12.75">
      <c r="A283" s="55"/>
      <c r="C283" s="40"/>
      <c r="E283" s="40"/>
      <c r="G283" s="40"/>
      <c r="X283" s="40"/>
    </row>
    <row r="284" spans="1:24" s="39" customFormat="1" ht="12.75">
      <c r="A284" s="55"/>
      <c r="C284" s="40"/>
      <c r="E284" s="40"/>
      <c r="G284" s="40"/>
      <c r="X284" s="40"/>
    </row>
    <row r="285" spans="1:24" s="39" customFormat="1" ht="12.75">
      <c r="A285" s="55"/>
      <c r="C285" s="40"/>
      <c r="E285" s="40"/>
      <c r="G285" s="40"/>
      <c r="X285" s="40"/>
    </row>
    <row r="286" spans="1:24" s="39" customFormat="1" ht="12.75">
      <c r="A286" s="55"/>
      <c r="C286" s="40"/>
      <c r="E286" s="40"/>
      <c r="G286" s="40"/>
      <c r="X286" s="40"/>
    </row>
    <row r="287" spans="1:24" s="39" customFormat="1" ht="12.75">
      <c r="A287" s="55"/>
      <c r="C287" s="40"/>
      <c r="E287" s="40"/>
      <c r="G287" s="40"/>
      <c r="X287" s="40"/>
    </row>
    <row r="288" spans="1:24" s="39" customFormat="1" ht="12.75">
      <c r="A288" s="55"/>
      <c r="C288" s="40"/>
      <c r="E288" s="40"/>
      <c r="G288" s="40"/>
      <c r="X288" s="40"/>
    </row>
    <row r="289" spans="1:24" s="39" customFormat="1" ht="12.75">
      <c r="A289" s="55"/>
      <c r="C289" s="40"/>
      <c r="E289" s="40"/>
      <c r="G289" s="40"/>
      <c r="X289" s="40"/>
    </row>
    <row r="290" spans="1:24" s="39" customFormat="1" ht="12.75">
      <c r="A290" s="55"/>
      <c r="C290" s="40"/>
      <c r="E290" s="40"/>
      <c r="G290" s="40"/>
      <c r="X290" s="40"/>
    </row>
    <row r="291" spans="1:24" s="39" customFormat="1" ht="12.75">
      <c r="A291" s="55"/>
      <c r="C291" s="40"/>
      <c r="E291" s="40"/>
      <c r="G291" s="40"/>
      <c r="X291" s="40"/>
    </row>
    <row r="292" spans="1:24" s="39" customFormat="1" ht="12.75">
      <c r="A292" s="55"/>
      <c r="C292" s="40"/>
      <c r="E292" s="40"/>
      <c r="G292" s="40"/>
      <c r="X292" s="40"/>
    </row>
    <row r="293" spans="1:24" s="39" customFormat="1" ht="12.75">
      <c r="A293" s="55"/>
      <c r="C293" s="40"/>
      <c r="E293" s="40"/>
      <c r="G293" s="40"/>
      <c r="X293" s="40"/>
    </row>
    <row r="294" spans="1:24" s="39" customFormat="1" ht="12.75">
      <c r="A294" s="55"/>
      <c r="C294" s="40"/>
      <c r="E294" s="40"/>
      <c r="G294" s="40"/>
      <c r="X294" s="40"/>
    </row>
    <row r="295" spans="1:24" s="39" customFormat="1" ht="12.75">
      <c r="A295" s="55"/>
      <c r="C295" s="40"/>
      <c r="E295" s="40"/>
      <c r="G295" s="40"/>
      <c r="X295" s="40"/>
    </row>
    <row r="296" spans="1:24" s="39" customFormat="1" ht="12.75">
      <c r="A296" s="55"/>
      <c r="C296" s="40"/>
      <c r="E296" s="40"/>
      <c r="G296" s="40"/>
      <c r="X296" s="40"/>
    </row>
    <row r="297" spans="1:24" s="39" customFormat="1" ht="12.75">
      <c r="A297" s="55"/>
      <c r="C297" s="40"/>
      <c r="E297" s="40"/>
      <c r="G297" s="40"/>
      <c r="X297" s="40"/>
    </row>
    <row r="298" spans="1:24" s="39" customFormat="1" ht="12.75">
      <c r="A298" s="55"/>
      <c r="C298" s="40"/>
      <c r="E298" s="40"/>
      <c r="G298" s="40"/>
      <c r="X298" s="40"/>
    </row>
    <row r="299" spans="1:24" s="39" customFormat="1" ht="12.75">
      <c r="A299" s="55"/>
      <c r="C299" s="40"/>
      <c r="E299" s="40"/>
      <c r="G299" s="40"/>
      <c r="X299" s="40"/>
    </row>
    <row r="300" spans="1:24" s="39" customFormat="1" ht="12.75">
      <c r="A300" s="55"/>
      <c r="C300" s="40"/>
      <c r="E300" s="40"/>
      <c r="G300" s="40"/>
      <c r="X300" s="40"/>
    </row>
    <row r="301" spans="1:24" s="39" customFormat="1" ht="12.75">
      <c r="A301" s="55"/>
      <c r="C301" s="40"/>
      <c r="E301" s="40"/>
      <c r="G301" s="40"/>
      <c r="X301" s="40"/>
    </row>
    <row r="302" spans="1:24" s="39" customFormat="1" ht="12.75">
      <c r="A302" s="55"/>
      <c r="C302" s="40"/>
      <c r="E302" s="40"/>
      <c r="G302" s="40"/>
      <c r="X302" s="40"/>
    </row>
    <row r="303" spans="1:24" s="39" customFormat="1" ht="12.75">
      <c r="A303" s="55"/>
      <c r="C303" s="40"/>
      <c r="E303" s="40"/>
      <c r="G303" s="40"/>
      <c r="X303" s="40"/>
    </row>
    <row r="304" spans="1:24" s="39" customFormat="1" ht="12.75">
      <c r="A304" s="55"/>
      <c r="C304" s="40"/>
      <c r="E304" s="40"/>
      <c r="G304" s="40"/>
      <c r="X304" s="40"/>
    </row>
    <row r="305" spans="1:24" s="39" customFormat="1" ht="12.75">
      <c r="A305" s="55"/>
      <c r="C305" s="40"/>
      <c r="E305" s="40"/>
      <c r="G305" s="40"/>
      <c r="X305" s="40"/>
    </row>
    <row r="306" spans="1:24" s="39" customFormat="1" ht="12.75">
      <c r="A306" s="55"/>
      <c r="C306" s="40"/>
      <c r="E306" s="40"/>
      <c r="G306" s="40"/>
      <c r="X306" s="40"/>
    </row>
    <row r="307" spans="1:24" s="39" customFormat="1" ht="12.75">
      <c r="A307" s="55"/>
      <c r="C307" s="40"/>
      <c r="E307" s="40"/>
      <c r="G307" s="40"/>
      <c r="X307" s="40"/>
    </row>
    <row r="308" spans="1:24" s="39" customFormat="1" ht="12.75">
      <c r="A308" s="55"/>
      <c r="C308" s="40"/>
      <c r="E308" s="40"/>
      <c r="G308" s="40"/>
      <c r="X308" s="40"/>
    </row>
    <row r="309" spans="1:24" s="39" customFormat="1" ht="12.75">
      <c r="A309" s="55"/>
      <c r="C309" s="40"/>
      <c r="E309" s="40"/>
      <c r="G309" s="40"/>
      <c r="X309" s="40"/>
    </row>
    <row r="310" spans="1:24" s="39" customFormat="1" ht="12.75">
      <c r="A310" s="55"/>
      <c r="C310" s="40"/>
      <c r="E310" s="40"/>
      <c r="G310" s="40"/>
      <c r="X310" s="40"/>
    </row>
    <row r="311" spans="1:24" s="39" customFormat="1" ht="12.75">
      <c r="A311" s="55"/>
      <c r="C311" s="40"/>
      <c r="E311" s="40"/>
      <c r="G311" s="40"/>
      <c r="X311" s="40"/>
    </row>
    <row r="312" spans="1:24" s="39" customFormat="1" ht="12.75">
      <c r="A312" s="55"/>
      <c r="C312" s="40"/>
      <c r="E312" s="40"/>
      <c r="G312" s="40"/>
      <c r="X312" s="40"/>
    </row>
    <row r="313" spans="1:24" s="39" customFormat="1" ht="12.75">
      <c r="A313" s="55"/>
      <c r="C313" s="40"/>
      <c r="E313" s="40"/>
      <c r="G313" s="40"/>
      <c r="X313" s="40"/>
    </row>
    <row r="314" spans="1:24" s="39" customFormat="1" ht="12.75">
      <c r="A314" s="55"/>
      <c r="C314" s="40"/>
      <c r="E314" s="40"/>
      <c r="G314" s="40"/>
      <c r="X314" s="40"/>
    </row>
    <row r="315" spans="1:24" s="39" customFormat="1" ht="12.75">
      <c r="A315" s="55"/>
      <c r="C315" s="40"/>
      <c r="E315" s="40"/>
      <c r="G315" s="40"/>
      <c r="X315" s="40"/>
    </row>
    <row r="316" spans="1:24" s="39" customFormat="1" ht="12.75">
      <c r="A316" s="55"/>
      <c r="C316" s="40"/>
      <c r="E316" s="40"/>
      <c r="G316" s="40"/>
      <c r="X316" s="40"/>
    </row>
    <row r="317" spans="1:24" s="39" customFormat="1" ht="12.75">
      <c r="A317" s="55"/>
      <c r="C317" s="40"/>
      <c r="E317" s="40"/>
      <c r="G317" s="40"/>
      <c r="X317" s="40"/>
    </row>
    <row r="318" spans="1:24" s="39" customFormat="1" ht="12.75">
      <c r="A318" s="55"/>
      <c r="C318" s="40"/>
      <c r="E318" s="40"/>
      <c r="G318" s="40"/>
      <c r="X318" s="40"/>
    </row>
    <row r="319" spans="1:24" s="39" customFormat="1" ht="12.75">
      <c r="A319" s="55"/>
      <c r="C319" s="40"/>
      <c r="E319" s="40"/>
      <c r="G319" s="40"/>
      <c r="X319" s="40"/>
    </row>
    <row r="320" spans="1:24" s="39" customFormat="1" ht="12.75">
      <c r="A320" s="55"/>
      <c r="C320" s="40"/>
      <c r="E320" s="40"/>
      <c r="G320" s="40"/>
      <c r="X320" s="40"/>
    </row>
    <row r="321" spans="1:24" s="39" customFormat="1" ht="12.75">
      <c r="A321" s="55"/>
      <c r="C321" s="40"/>
      <c r="E321" s="40"/>
      <c r="G321" s="40"/>
      <c r="X321" s="40"/>
    </row>
    <row r="322" spans="1:24" s="39" customFormat="1" ht="12.75">
      <c r="A322" s="55"/>
      <c r="C322" s="40"/>
      <c r="E322" s="40"/>
      <c r="G322" s="40"/>
      <c r="X322" s="40"/>
    </row>
    <row r="323" spans="1:24" s="39" customFormat="1" ht="12.75">
      <c r="A323" s="55"/>
      <c r="C323" s="40"/>
      <c r="E323" s="40"/>
      <c r="G323" s="40"/>
      <c r="X323" s="40"/>
    </row>
    <row r="324" spans="1:24" s="39" customFormat="1" ht="12.75">
      <c r="A324" s="55"/>
      <c r="C324" s="40"/>
      <c r="E324" s="40"/>
      <c r="G324" s="40"/>
      <c r="X324" s="40"/>
    </row>
    <row r="325" spans="1:24" s="39" customFormat="1" ht="12.75">
      <c r="A325" s="55"/>
      <c r="C325" s="40"/>
      <c r="E325" s="40"/>
      <c r="G325" s="40"/>
      <c r="X325" s="40"/>
    </row>
    <row r="326" spans="1:24" s="39" customFormat="1" ht="12.75">
      <c r="A326" s="55"/>
      <c r="C326" s="40"/>
      <c r="E326" s="40"/>
      <c r="G326" s="40"/>
      <c r="X326" s="40"/>
    </row>
    <row r="327" spans="1:24" s="39" customFormat="1" ht="12.75">
      <c r="A327" s="55"/>
      <c r="C327" s="40"/>
      <c r="E327" s="40"/>
      <c r="G327" s="40"/>
      <c r="X327" s="40"/>
    </row>
    <row r="328" spans="1:24" s="39" customFormat="1" ht="12.75">
      <c r="A328" s="55"/>
      <c r="C328" s="40"/>
      <c r="E328" s="40"/>
      <c r="G328" s="40"/>
      <c r="X328" s="40"/>
    </row>
    <row r="329" spans="1:24" s="39" customFormat="1" ht="12.75">
      <c r="A329" s="55"/>
      <c r="C329" s="40"/>
      <c r="E329" s="40"/>
      <c r="G329" s="40"/>
      <c r="X329" s="40"/>
    </row>
    <row r="330" spans="1:24" s="39" customFormat="1" ht="12.75">
      <c r="A330" s="55"/>
      <c r="C330" s="40"/>
      <c r="E330" s="40"/>
      <c r="G330" s="40"/>
      <c r="X330" s="40"/>
    </row>
    <row r="331" spans="1:24" s="39" customFormat="1" ht="12.75">
      <c r="A331" s="55"/>
      <c r="C331" s="40"/>
      <c r="E331" s="40"/>
      <c r="G331" s="40"/>
      <c r="X331" s="40"/>
    </row>
    <row r="332" spans="1:24" s="39" customFormat="1" ht="12.75">
      <c r="A332" s="55"/>
      <c r="C332" s="40"/>
      <c r="E332" s="40"/>
      <c r="G332" s="40"/>
      <c r="X332" s="40"/>
    </row>
    <row r="333" spans="1:24" s="39" customFormat="1" ht="12.75">
      <c r="A333" s="55"/>
      <c r="C333" s="40"/>
      <c r="E333" s="40"/>
      <c r="G333" s="40"/>
      <c r="X333" s="40"/>
    </row>
    <row r="334" spans="1:24" s="39" customFormat="1" ht="12.75">
      <c r="A334" s="55"/>
      <c r="C334" s="40"/>
      <c r="E334" s="40"/>
      <c r="G334" s="40"/>
      <c r="X334" s="40"/>
    </row>
    <row r="335" spans="1:24" s="39" customFormat="1" ht="12.75">
      <c r="A335" s="55"/>
      <c r="C335" s="40"/>
      <c r="E335" s="40"/>
      <c r="G335" s="40"/>
      <c r="X335" s="40"/>
    </row>
    <row r="336" spans="1:24" s="39" customFormat="1" ht="12.75">
      <c r="A336" s="55"/>
      <c r="C336" s="40"/>
      <c r="E336" s="40"/>
      <c r="G336" s="40"/>
      <c r="X336" s="40"/>
    </row>
    <row r="337" spans="1:24" s="39" customFormat="1" ht="12.75">
      <c r="A337" s="55"/>
      <c r="C337" s="40"/>
      <c r="E337" s="40"/>
      <c r="G337" s="40"/>
      <c r="X337" s="40"/>
    </row>
    <row r="338" spans="1:24" s="39" customFormat="1" ht="12.75">
      <c r="A338" s="55"/>
      <c r="C338" s="40"/>
      <c r="E338" s="40"/>
      <c r="G338" s="40"/>
      <c r="X338" s="40"/>
    </row>
    <row r="339" spans="1:24" s="39" customFormat="1" ht="12.75">
      <c r="A339" s="55"/>
      <c r="C339" s="40"/>
      <c r="E339" s="40"/>
      <c r="G339" s="40"/>
      <c r="X339" s="40"/>
    </row>
    <row r="340" spans="1:24" s="39" customFormat="1" ht="12.75">
      <c r="A340" s="55"/>
      <c r="C340" s="40"/>
      <c r="E340" s="40"/>
      <c r="G340" s="40"/>
      <c r="X340" s="40"/>
    </row>
    <row r="341" spans="1:24" s="39" customFormat="1" ht="12.75">
      <c r="A341" s="55"/>
      <c r="C341" s="40"/>
      <c r="E341" s="40"/>
      <c r="G341" s="40"/>
      <c r="X341" s="40"/>
    </row>
    <row r="342" spans="1:24" s="39" customFormat="1" ht="12.75">
      <c r="A342" s="55"/>
      <c r="C342" s="40"/>
      <c r="E342" s="40"/>
      <c r="G342" s="40"/>
      <c r="X342" s="40"/>
    </row>
    <row r="343" spans="1:24" s="39" customFormat="1" ht="12.75">
      <c r="A343" s="55"/>
      <c r="C343" s="40"/>
      <c r="E343" s="40"/>
      <c r="G343" s="40"/>
      <c r="X343" s="40"/>
    </row>
    <row r="344" spans="1:24" s="39" customFormat="1" ht="12.75">
      <c r="A344" s="55"/>
      <c r="C344" s="40"/>
      <c r="E344" s="40"/>
      <c r="G344" s="40"/>
      <c r="X344" s="40"/>
    </row>
    <row r="345" spans="1:24" s="39" customFormat="1" ht="12.75">
      <c r="A345" s="55"/>
      <c r="C345" s="40"/>
      <c r="E345" s="40"/>
      <c r="G345" s="40"/>
      <c r="X345" s="40"/>
    </row>
    <row r="346" spans="1:24" s="39" customFormat="1" ht="12.75">
      <c r="A346" s="55"/>
      <c r="C346" s="40"/>
      <c r="E346" s="40"/>
      <c r="G346" s="40"/>
      <c r="X346" s="40"/>
    </row>
    <row r="347" spans="1:24" s="39" customFormat="1" ht="12.75">
      <c r="A347" s="55"/>
      <c r="C347" s="40"/>
      <c r="E347" s="40"/>
      <c r="G347" s="40"/>
      <c r="X347" s="40"/>
    </row>
    <row r="348" spans="1:24" s="39" customFormat="1" ht="12.75">
      <c r="A348" s="55"/>
      <c r="C348" s="40"/>
      <c r="E348" s="40"/>
      <c r="G348" s="40"/>
      <c r="X348" s="40"/>
    </row>
    <row r="349" spans="1:24" s="39" customFormat="1" ht="12.75">
      <c r="A349" s="55"/>
      <c r="C349" s="40"/>
      <c r="E349" s="40"/>
      <c r="G349" s="40"/>
      <c r="X349" s="40"/>
    </row>
    <row r="350" spans="1:24" s="39" customFormat="1" ht="12.75">
      <c r="A350" s="55"/>
      <c r="C350" s="40"/>
      <c r="E350" s="40"/>
      <c r="G350" s="40"/>
      <c r="X350" s="40"/>
    </row>
    <row r="351" spans="1:24" s="39" customFormat="1" ht="12.75">
      <c r="A351" s="55"/>
      <c r="C351" s="40"/>
      <c r="E351" s="40"/>
      <c r="G351" s="40"/>
      <c r="X351" s="40"/>
    </row>
    <row r="352" spans="1:24" s="39" customFormat="1" ht="12.75">
      <c r="A352" s="55"/>
      <c r="C352" s="40"/>
      <c r="E352" s="40"/>
      <c r="G352" s="40"/>
      <c r="X352" s="40"/>
    </row>
    <row r="353" spans="1:24" s="39" customFormat="1" ht="12.75">
      <c r="A353" s="55"/>
      <c r="C353" s="40"/>
      <c r="E353" s="40"/>
      <c r="G353" s="40"/>
      <c r="X353" s="40"/>
    </row>
    <row r="354" spans="1:24" s="39" customFormat="1" ht="12.75">
      <c r="A354" s="55"/>
      <c r="C354" s="40"/>
      <c r="E354" s="40"/>
      <c r="G354" s="40"/>
      <c r="X354" s="40"/>
    </row>
    <row r="355" spans="1:24" s="39" customFormat="1" ht="12.75">
      <c r="A355" s="55"/>
      <c r="C355" s="40"/>
      <c r="E355" s="40"/>
      <c r="G355" s="40"/>
      <c r="X355" s="40"/>
    </row>
    <row r="356" spans="1:24" s="39" customFormat="1" ht="12.75">
      <c r="A356" s="55"/>
      <c r="C356" s="40"/>
      <c r="E356" s="40"/>
      <c r="G356" s="40"/>
      <c r="X356" s="40"/>
    </row>
    <row r="357" spans="1:24" s="39" customFormat="1" ht="12.75">
      <c r="A357" s="55"/>
      <c r="C357" s="40"/>
      <c r="E357" s="40"/>
      <c r="G357" s="40"/>
      <c r="X357" s="40"/>
    </row>
    <row r="358" spans="1:24" s="39" customFormat="1" ht="12.75">
      <c r="A358" s="55"/>
      <c r="C358" s="40"/>
      <c r="E358" s="40"/>
      <c r="G358" s="40"/>
      <c r="X358" s="40"/>
    </row>
    <row r="359" spans="1:24" s="39" customFormat="1" ht="12.75">
      <c r="A359" s="55"/>
      <c r="C359" s="40"/>
      <c r="E359" s="40"/>
      <c r="G359" s="40"/>
      <c r="X359" s="40"/>
    </row>
    <row r="360" spans="1:24" s="39" customFormat="1" ht="12.75">
      <c r="A360" s="55"/>
      <c r="C360" s="40"/>
      <c r="E360" s="40"/>
      <c r="G360" s="40"/>
      <c r="X360" s="40"/>
    </row>
    <row r="361" spans="1:24" s="39" customFormat="1" ht="12.75">
      <c r="A361" s="55"/>
      <c r="C361" s="40"/>
      <c r="E361" s="40"/>
      <c r="G361" s="40"/>
      <c r="X361" s="40"/>
    </row>
    <row r="362" spans="1:24" s="39" customFormat="1" ht="12.75">
      <c r="A362" s="55"/>
      <c r="C362" s="40"/>
      <c r="E362" s="40"/>
      <c r="G362" s="40"/>
      <c r="X362" s="40"/>
    </row>
    <row r="363" spans="1:24" s="39" customFormat="1" ht="12.75">
      <c r="A363" s="55"/>
      <c r="C363" s="40"/>
      <c r="E363" s="40"/>
      <c r="G363" s="40"/>
      <c r="X363" s="40"/>
    </row>
    <row r="364" spans="1:24" s="39" customFormat="1" ht="12.75">
      <c r="A364" s="55"/>
      <c r="C364" s="40"/>
      <c r="E364" s="40"/>
      <c r="G364" s="40"/>
      <c r="X364" s="40"/>
    </row>
    <row r="365" spans="1:24" s="39" customFormat="1" ht="12.75">
      <c r="A365" s="55"/>
      <c r="C365" s="40"/>
      <c r="E365" s="40"/>
      <c r="G365" s="40"/>
      <c r="X365" s="40"/>
    </row>
    <row r="366" spans="1:24" s="39" customFormat="1" ht="12.75">
      <c r="A366" s="55"/>
      <c r="C366" s="40"/>
      <c r="E366" s="40"/>
      <c r="G366" s="40"/>
      <c r="X366" s="40"/>
    </row>
    <row r="367" spans="1:24" s="39" customFormat="1" ht="12.75">
      <c r="A367" s="55"/>
      <c r="C367" s="40"/>
      <c r="E367" s="40"/>
      <c r="G367" s="40"/>
      <c r="X367" s="40"/>
    </row>
    <row r="368" spans="1:24" s="39" customFormat="1" ht="12.75">
      <c r="A368" s="55"/>
      <c r="C368" s="40"/>
      <c r="E368" s="40"/>
      <c r="G368" s="40"/>
      <c r="X368" s="40"/>
    </row>
    <row r="369" spans="1:24" s="39" customFormat="1" ht="12.75">
      <c r="A369" s="55"/>
      <c r="C369" s="40"/>
      <c r="E369" s="40"/>
      <c r="G369" s="40"/>
      <c r="X369" s="40"/>
    </row>
    <row r="370" spans="1:24" s="39" customFormat="1" ht="12.75">
      <c r="A370" s="55"/>
      <c r="C370" s="40"/>
      <c r="E370" s="40"/>
      <c r="G370" s="40"/>
      <c r="X370" s="40"/>
    </row>
    <row r="371" spans="1:24" s="39" customFormat="1" ht="12.75">
      <c r="A371" s="55"/>
      <c r="C371" s="40"/>
      <c r="E371" s="40"/>
      <c r="G371" s="40"/>
      <c r="X371" s="40"/>
    </row>
    <row r="372" spans="1:24" s="39" customFormat="1" ht="12.75">
      <c r="A372" s="55"/>
      <c r="C372" s="40"/>
      <c r="E372" s="40"/>
      <c r="G372" s="40"/>
      <c r="X372" s="40"/>
    </row>
    <row r="373" spans="1:24" s="39" customFormat="1" ht="12.75">
      <c r="A373" s="55"/>
      <c r="C373" s="40"/>
      <c r="E373" s="40"/>
      <c r="G373" s="40"/>
      <c r="X373" s="40"/>
    </row>
    <row r="374" spans="1:24" s="39" customFormat="1" ht="12.75">
      <c r="A374" s="55"/>
      <c r="C374" s="40"/>
      <c r="E374" s="40"/>
      <c r="G374" s="40"/>
      <c r="X374" s="40"/>
    </row>
    <row r="375" spans="1:24" s="39" customFormat="1" ht="12.75">
      <c r="A375" s="55"/>
      <c r="C375" s="40"/>
      <c r="E375" s="40"/>
      <c r="G375" s="40"/>
      <c r="X375" s="40"/>
    </row>
    <row r="376" spans="1:24" s="39" customFormat="1" ht="12.75">
      <c r="A376" s="55"/>
      <c r="C376" s="40"/>
      <c r="E376" s="40"/>
      <c r="G376" s="40"/>
      <c r="X376" s="40"/>
    </row>
    <row r="377" spans="1:24" s="39" customFormat="1" ht="12.75">
      <c r="A377" s="55"/>
      <c r="C377" s="40"/>
      <c r="E377" s="40"/>
      <c r="G377" s="40"/>
      <c r="X377" s="40"/>
    </row>
    <row r="378" spans="1:24" s="39" customFormat="1" ht="12.75">
      <c r="A378" s="55"/>
      <c r="C378" s="40"/>
      <c r="E378" s="40"/>
      <c r="G378" s="40"/>
      <c r="X378" s="40"/>
    </row>
    <row r="379" spans="1:24" s="39" customFormat="1" ht="12.75">
      <c r="A379" s="55"/>
      <c r="C379" s="40"/>
      <c r="E379" s="40"/>
      <c r="G379" s="40"/>
      <c r="X379" s="40"/>
    </row>
    <row r="380" spans="1:24" s="39" customFormat="1" ht="12.75">
      <c r="A380" s="55"/>
      <c r="C380" s="40"/>
      <c r="E380" s="40"/>
      <c r="G380" s="40"/>
      <c r="X380" s="40"/>
    </row>
    <row r="381" spans="1:24" s="39" customFormat="1" ht="12.75">
      <c r="A381" s="55"/>
      <c r="C381" s="40"/>
      <c r="E381" s="40"/>
      <c r="G381" s="40"/>
      <c r="X381" s="40"/>
    </row>
    <row r="382" spans="1:24" s="39" customFormat="1" ht="12.75">
      <c r="A382" s="55"/>
      <c r="C382" s="40"/>
      <c r="E382" s="40"/>
      <c r="G382" s="40"/>
      <c r="X382" s="40"/>
    </row>
    <row r="383" spans="1:24" s="39" customFormat="1" ht="12.75">
      <c r="A383" s="55"/>
      <c r="C383" s="40"/>
      <c r="E383" s="40"/>
      <c r="G383" s="40"/>
      <c r="X383" s="40"/>
    </row>
    <row r="384" spans="1:24" s="39" customFormat="1" ht="12.75">
      <c r="A384" s="55"/>
      <c r="C384" s="40"/>
      <c r="E384" s="40"/>
      <c r="G384" s="40"/>
      <c r="X384" s="40"/>
    </row>
    <row r="385" spans="1:24" s="39" customFormat="1" ht="12.75">
      <c r="A385" s="55"/>
      <c r="C385" s="40"/>
      <c r="E385" s="40"/>
      <c r="G385" s="40"/>
      <c r="X385" s="40"/>
    </row>
    <row r="386" spans="1:24" s="39" customFormat="1" ht="12.75">
      <c r="A386" s="55"/>
      <c r="C386" s="40"/>
      <c r="E386" s="40"/>
      <c r="G386" s="40"/>
      <c r="X386" s="40"/>
    </row>
    <row r="387" spans="1:24" s="39" customFormat="1" ht="12.75">
      <c r="A387" s="55"/>
      <c r="C387" s="40"/>
      <c r="E387" s="40"/>
      <c r="G387" s="40"/>
      <c r="X387" s="40"/>
    </row>
    <row r="388" spans="1:24" s="39" customFormat="1" ht="12.75">
      <c r="A388" s="55"/>
      <c r="C388" s="40"/>
      <c r="E388" s="40"/>
      <c r="G388" s="40"/>
      <c r="X388" s="40"/>
    </row>
    <row r="389" spans="1:24" s="39" customFormat="1" ht="12.75">
      <c r="A389" s="55"/>
      <c r="C389" s="40"/>
      <c r="E389" s="40"/>
      <c r="G389" s="40"/>
      <c r="X389" s="40"/>
    </row>
    <row r="390" spans="1:24" s="39" customFormat="1" ht="12.75">
      <c r="A390" s="55"/>
      <c r="C390" s="40"/>
      <c r="E390" s="40"/>
      <c r="G390" s="40"/>
      <c r="X390" s="40"/>
    </row>
    <row r="391" spans="1:24" s="39" customFormat="1" ht="12.75">
      <c r="A391" s="55"/>
      <c r="C391" s="40"/>
      <c r="E391" s="40"/>
      <c r="G391" s="40"/>
      <c r="X391" s="40"/>
    </row>
    <row r="392" spans="1:24" s="39" customFormat="1" ht="12.75">
      <c r="A392" s="55"/>
      <c r="C392" s="40"/>
      <c r="E392" s="40"/>
      <c r="G392" s="40"/>
      <c r="X392" s="40"/>
    </row>
    <row r="393" spans="1:24" s="39" customFormat="1" ht="12.75">
      <c r="A393" s="55"/>
      <c r="C393" s="40"/>
      <c r="E393" s="40"/>
      <c r="G393" s="40"/>
      <c r="X393" s="40"/>
    </row>
    <row r="394" spans="1:24" s="39" customFormat="1" ht="12.75">
      <c r="A394" s="55"/>
      <c r="C394" s="40"/>
      <c r="E394" s="40"/>
      <c r="G394" s="40"/>
      <c r="X394" s="40"/>
    </row>
    <row r="395" spans="1:24" s="39" customFormat="1" ht="12.75">
      <c r="A395" s="55"/>
      <c r="C395" s="40"/>
      <c r="E395" s="40"/>
      <c r="G395" s="40"/>
      <c r="X395" s="40"/>
    </row>
    <row r="396" spans="1:24" s="39" customFormat="1" ht="12.75">
      <c r="A396" s="55"/>
      <c r="C396" s="40"/>
      <c r="E396" s="40"/>
      <c r="G396" s="40"/>
      <c r="X396" s="40"/>
    </row>
    <row r="397" spans="1:24" s="39" customFormat="1" ht="12.75">
      <c r="A397" s="55"/>
      <c r="C397" s="40"/>
      <c r="E397" s="40"/>
      <c r="G397" s="40"/>
      <c r="X397" s="40"/>
    </row>
    <row r="398" spans="1:24" s="39" customFormat="1" ht="12.75">
      <c r="A398" s="55"/>
      <c r="C398" s="40"/>
      <c r="E398" s="40"/>
      <c r="G398" s="40"/>
      <c r="X398" s="40"/>
    </row>
    <row r="399" spans="1:24" s="39" customFormat="1" ht="12.75">
      <c r="A399" s="55"/>
      <c r="C399" s="40"/>
      <c r="E399" s="40"/>
      <c r="G399" s="40"/>
      <c r="X399" s="40"/>
    </row>
    <row r="400" spans="1:24" s="39" customFormat="1" ht="12.75">
      <c r="A400" s="55"/>
      <c r="C400" s="40"/>
      <c r="E400" s="40"/>
      <c r="G400" s="40"/>
      <c r="X400" s="40"/>
    </row>
    <row r="401" spans="1:24" s="39" customFormat="1" ht="12.75">
      <c r="A401" s="55"/>
      <c r="C401" s="40"/>
      <c r="E401" s="40"/>
      <c r="G401" s="40"/>
      <c r="X401" s="40"/>
    </row>
    <row r="402" spans="1:24" s="39" customFormat="1" ht="12.75">
      <c r="A402" s="55"/>
      <c r="C402" s="40"/>
      <c r="E402" s="40"/>
      <c r="G402" s="40"/>
      <c r="X402" s="40"/>
    </row>
    <row r="403" spans="1:24" s="39" customFormat="1" ht="12.75">
      <c r="A403" s="55"/>
      <c r="C403" s="40"/>
      <c r="E403" s="40"/>
      <c r="G403" s="40"/>
      <c r="X403" s="40"/>
    </row>
    <row r="404" spans="1:24" s="39" customFormat="1" ht="12.75">
      <c r="A404" s="55"/>
      <c r="C404" s="40"/>
      <c r="E404" s="40"/>
      <c r="G404" s="40"/>
      <c r="X404" s="40"/>
    </row>
    <row r="405" spans="1:24" s="39" customFormat="1" ht="12.75">
      <c r="A405" s="55"/>
      <c r="C405" s="40"/>
      <c r="E405" s="40"/>
      <c r="G405" s="40"/>
      <c r="X405" s="40"/>
    </row>
    <row r="406" spans="1:24" s="39" customFormat="1" ht="12.75">
      <c r="A406" s="55"/>
      <c r="C406" s="40"/>
      <c r="E406" s="40"/>
      <c r="G406" s="40"/>
      <c r="X406" s="40"/>
    </row>
    <row r="407" spans="1:24" s="39" customFormat="1" ht="12.75">
      <c r="A407" s="55"/>
      <c r="C407" s="40"/>
      <c r="E407" s="40"/>
      <c r="G407" s="40"/>
      <c r="X407" s="40"/>
    </row>
    <row r="408" spans="1:24" s="39" customFormat="1" ht="12.75">
      <c r="A408" s="55"/>
      <c r="C408" s="40"/>
      <c r="E408" s="40"/>
      <c r="G408" s="40"/>
      <c r="X408" s="40"/>
    </row>
    <row r="409" spans="1:24" s="39" customFormat="1" ht="12.75">
      <c r="A409" s="55"/>
      <c r="C409" s="40"/>
      <c r="E409" s="40"/>
      <c r="G409" s="40"/>
      <c r="X409" s="40"/>
    </row>
    <row r="410" spans="1:24" s="39" customFormat="1" ht="12.75">
      <c r="A410" s="55"/>
      <c r="C410" s="40"/>
      <c r="E410" s="40"/>
      <c r="G410" s="40"/>
      <c r="X410" s="40"/>
    </row>
    <row r="411" spans="1:24" s="39" customFormat="1" ht="12.75">
      <c r="A411" s="55"/>
      <c r="C411" s="40"/>
      <c r="E411" s="40"/>
      <c r="G411" s="40"/>
      <c r="X411" s="40"/>
    </row>
    <row r="412" spans="1:24" s="39" customFormat="1" ht="12.75">
      <c r="A412" s="55"/>
      <c r="C412" s="40"/>
      <c r="E412" s="40"/>
      <c r="G412" s="40"/>
      <c r="X412" s="40"/>
    </row>
    <row r="413" spans="1:24" s="39" customFormat="1" ht="12.75">
      <c r="A413" s="55"/>
      <c r="C413" s="40"/>
      <c r="E413" s="40"/>
      <c r="G413" s="40"/>
      <c r="X413" s="40"/>
    </row>
    <row r="414" spans="1:24" s="39" customFormat="1" ht="12.75">
      <c r="A414" s="55"/>
      <c r="C414" s="40"/>
      <c r="E414" s="40"/>
      <c r="G414" s="40"/>
      <c r="X414" s="40"/>
    </row>
    <row r="415" spans="1:24" s="39" customFormat="1" ht="12.75">
      <c r="A415" s="55"/>
      <c r="C415" s="40"/>
      <c r="E415" s="40"/>
      <c r="G415" s="40"/>
      <c r="X415" s="40"/>
    </row>
    <row r="416" spans="1:24" s="39" customFormat="1" ht="12.75">
      <c r="A416" s="55"/>
      <c r="C416" s="40"/>
      <c r="E416" s="40"/>
      <c r="G416" s="40"/>
      <c r="X416" s="40"/>
    </row>
    <row r="417" spans="1:24" s="39" customFormat="1" ht="12.75">
      <c r="A417" s="55"/>
      <c r="C417" s="40"/>
      <c r="E417" s="40"/>
      <c r="G417" s="40"/>
      <c r="X417" s="40"/>
    </row>
    <row r="418" spans="1:24" s="39" customFormat="1" ht="12.75">
      <c r="A418" s="55"/>
      <c r="C418" s="40"/>
      <c r="E418" s="40"/>
      <c r="G418" s="40"/>
      <c r="X418" s="40"/>
    </row>
    <row r="419" spans="1:24" s="39" customFormat="1" ht="12.75">
      <c r="A419" s="55"/>
      <c r="C419" s="40"/>
      <c r="E419" s="40"/>
      <c r="G419" s="40"/>
      <c r="X419" s="40"/>
    </row>
    <row r="420" spans="1:24" s="39" customFormat="1" ht="12.75">
      <c r="A420" s="55"/>
      <c r="C420" s="40"/>
      <c r="E420" s="40"/>
      <c r="G420" s="40"/>
      <c r="X420" s="40"/>
    </row>
    <row r="421" spans="1:24" s="39" customFormat="1" ht="12.75">
      <c r="A421" s="55"/>
      <c r="C421" s="40"/>
      <c r="E421" s="40"/>
      <c r="G421" s="40"/>
      <c r="X421" s="40"/>
    </row>
    <row r="422" spans="1:24" s="39" customFormat="1" ht="12.75">
      <c r="A422" s="55"/>
      <c r="C422" s="40"/>
      <c r="E422" s="40"/>
      <c r="G422" s="40"/>
      <c r="X422" s="40"/>
    </row>
    <row r="423" spans="1:24" s="39" customFormat="1" ht="12.75">
      <c r="A423" s="55"/>
      <c r="C423" s="40"/>
      <c r="E423" s="40"/>
      <c r="G423" s="40"/>
      <c r="X423" s="40"/>
    </row>
    <row r="424" spans="1:24" s="39" customFormat="1" ht="12.75">
      <c r="A424" s="55"/>
      <c r="C424" s="40"/>
      <c r="E424" s="40"/>
      <c r="G424" s="40"/>
      <c r="X424" s="40"/>
    </row>
    <row r="425" spans="1:24" s="39" customFormat="1" ht="12.75">
      <c r="A425" s="55"/>
      <c r="C425" s="40"/>
      <c r="E425" s="40"/>
      <c r="G425" s="40"/>
      <c r="X425" s="40"/>
    </row>
    <row r="426" spans="1:24" s="39" customFormat="1" ht="12.75">
      <c r="A426" s="55"/>
      <c r="C426" s="40"/>
      <c r="E426" s="40"/>
      <c r="G426" s="40"/>
      <c r="X426" s="40"/>
    </row>
    <row r="427" spans="1:24" s="39" customFormat="1" ht="12.75">
      <c r="A427" s="55"/>
      <c r="C427" s="40"/>
      <c r="E427" s="40"/>
      <c r="G427" s="40"/>
      <c r="X427" s="40"/>
    </row>
    <row r="428" spans="1:24" s="39" customFormat="1" ht="12.75">
      <c r="A428" s="55"/>
      <c r="C428" s="40"/>
      <c r="E428" s="40"/>
      <c r="G428" s="40"/>
      <c r="X428" s="40"/>
    </row>
    <row r="429" spans="1:24" s="39" customFormat="1" ht="12.75">
      <c r="A429" s="55"/>
      <c r="C429" s="40"/>
      <c r="E429" s="40"/>
      <c r="G429" s="40"/>
      <c r="X429" s="40"/>
    </row>
    <row r="430" spans="1:24" s="39" customFormat="1" ht="12.75">
      <c r="A430" s="55"/>
      <c r="C430" s="40"/>
      <c r="E430" s="40"/>
      <c r="G430" s="40"/>
      <c r="X430" s="40"/>
    </row>
    <row r="431" spans="1:24" s="39" customFormat="1" ht="12.75">
      <c r="A431" s="55"/>
      <c r="C431" s="40"/>
      <c r="E431" s="40"/>
      <c r="G431" s="40"/>
      <c r="X431" s="40"/>
    </row>
    <row r="432" spans="1:24" s="39" customFormat="1" ht="12.75">
      <c r="A432" s="55"/>
      <c r="C432" s="40"/>
      <c r="E432" s="40"/>
      <c r="G432" s="40"/>
      <c r="X432" s="40"/>
    </row>
    <row r="433" spans="1:24" s="39" customFormat="1" ht="12.75">
      <c r="A433" s="55"/>
      <c r="C433" s="40"/>
      <c r="E433" s="40"/>
      <c r="G433" s="40"/>
      <c r="X433" s="40"/>
    </row>
    <row r="434" spans="1:24" s="39" customFormat="1" ht="12.75">
      <c r="A434" s="55"/>
      <c r="C434" s="40"/>
      <c r="E434" s="40"/>
      <c r="G434" s="40"/>
      <c r="X434" s="40"/>
    </row>
    <row r="435" spans="1:24" s="39" customFormat="1" ht="12.75">
      <c r="A435" s="55"/>
      <c r="C435" s="40"/>
      <c r="E435" s="40"/>
      <c r="G435" s="40"/>
      <c r="X435" s="40"/>
    </row>
    <row r="436" spans="1:24" s="39" customFormat="1" ht="12.75">
      <c r="A436" s="55"/>
      <c r="C436" s="40"/>
      <c r="E436" s="40"/>
      <c r="G436" s="40"/>
      <c r="X436" s="40"/>
    </row>
    <row r="437" spans="1:24" s="39" customFormat="1" ht="12.75">
      <c r="A437" s="55"/>
      <c r="C437" s="40"/>
      <c r="E437" s="40"/>
      <c r="G437" s="40"/>
      <c r="X437" s="40"/>
    </row>
    <row r="438" spans="1:24" s="39" customFormat="1" ht="12.75">
      <c r="A438" s="55"/>
      <c r="C438" s="40"/>
      <c r="E438" s="40"/>
      <c r="G438" s="40"/>
      <c r="X438" s="40"/>
    </row>
    <row r="439" spans="1:24" s="39" customFormat="1" ht="12.75">
      <c r="A439" s="55"/>
      <c r="C439" s="40"/>
      <c r="E439" s="40"/>
      <c r="G439" s="40"/>
      <c r="X439" s="40"/>
    </row>
    <row r="440" spans="1:24" s="39" customFormat="1" ht="12.75">
      <c r="A440" s="55"/>
      <c r="C440" s="40"/>
      <c r="E440" s="40"/>
      <c r="G440" s="40"/>
      <c r="X440" s="40"/>
    </row>
    <row r="441" spans="1:24" s="39" customFormat="1" ht="12.75">
      <c r="A441" s="55"/>
      <c r="C441" s="40"/>
      <c r="E441" s="40"/>
      <c r="G441" s="40"/>
      <c r="X441" s="40"/>
    </row>
    <row r="442" spans="1:24" s="39" customFormat="1" ht="12.75">
      <c r="A442" s="55"/>
      <c r="C442" s="40"/>
      <c r="E442" s="40"/>
      <c r="G442" s="40"/>
      <c r="X442" s="40"/>
    </row>
    <row r="443" spans="1:24" s="39" customFormat="1" ht="12.75">
      <c r="A443" s="55"/>
      <c r="C443" s="40"/>
      <c r="E443" s="40"/>
      <c r="G443" s="40"/>
      <c r="X443" s="40"/>
    </row>
    <row r="444" spans="1:24" s="39" customFormat="1" ht="12.75">
      <c r="A444" s="55"/>
      <c r="C444" s="40"/>
      <c r="E444" s="40"/>
      <c r="G444" s="40"/>
      <c r="X444" s="40"/>
    </row>
    <row r="445" spans="1:24" s="39" customFormat="1" ht="12.75">
      <c r="A445" s="55"/>
      <c r="C445" s="40"/>
      <c r="E445" s="40"/>
      <c r="G445" s="40"/>
      <c r="X445" s="40"/>
    </row>
    <row r="446" spans="1:24" s="39" customFormat="1" ht="12.75">
      <c r="A446" s="55"/>
      <c r="C446" s="40"/>
      <c r="E446" s="40"/>
      <c r="G446" s="40"/>
      <c r="X446" s="40"/>
    </row>
    <row r="447" spans="1:24" s="39" customFormat="1" ht="12.75">
      <c r="A447" s="55"/>
      <c r="C447" s="40"/>
      <c r="E447" s="40"/>
      <c r="G447" s="40"/>
      <c r="X447" s="40"/>
    </row>
    <row r="448" spans="1:24" s="39" customFormat="1" ht="12.75">
      <c r="A448" s="55"/>
      <c r="C448" s="40"/>
      <c r="E448" s="40"/>
      <c r="G448" s="40"/>
      <c r="X448" s="40"/>
    </row>
    <row r="449" spans="1:24" s="39" customFormat="1" ht="12.75">
      <c r="A449" s="55"/>
      <c r="C449" s="40"/>
      <c r="E449" s="40"/>
      <c r="G449" s="40"/>
      <c r="X449" s="40"/>
    </row>
    <row r="450" spans="1:24" s="39" customFormat="1" ht="12.75">
      <c r="A450" s="55"/>
      <c r="C450" s="40"/>
      <c r="E450" s="40"/>
      <c r="G450" s="40"/>
      <c r="X450" s="40"/>
    </row>
    <row r="451" spans="1:24" s="39" customFormat="1" ht="12.75">
      <c r="A451" s="55"/>
      <c r="C451" s="40"/>
      <c r="E451" s="40"/>
      <c r="G451" s="40"/>
      <c r="X451" s="40"/>
    </row>
    <row r="452" spans="1:24" s="39" customFormat="1" ht="12.75">
      <c r="A452" s="55"/>
      <c r="C452" s="40"/>
      <c r="E452" s="40"/>
      <c r="G452" s="40"/>
      <c r="X452" s="40"/>
    </row>
    <row r="453" spans="1:24" s="39" customFormat="1" ht="12.75">
      <c r="A453" s="55"/>
      <c r="C453" s="40"/>
      <c r="E453" s="40"/>
      <c r="G453" s="40"/>
      <c r="X453" s="40"/>
    </row>
    <row r="454" spans="1:24" s="39" customFormat="1" ht="12.75">
      <c r="A454" s="55"/>
      <c r="C454" s="40"/>
      <c r="E454" s="40"/>
      <c r="G454" s="40"/>
      <c r="X454" s="40"/>
    </row>
    <row r="455" spans="1:24" s="39" customFormat="1" ht="12.75">
      <c r="A455" s="55"/>
      <c r="C455" s="40"/>
      <c r="E455" s="40"/>
      <c r="G455" s="40"/>
      <c r="X455" s="40"/>
    </row>
    <row r="456" spans="1:24" s="39" customFormat="1" ht="12.75">
      <c r="A456" s="55"/>
      <c r="C456" s="40"/>
      <c r="E456" s="40"/>
      <c r="G456" s="40"/>
      <c r="X456" s="40"/>
    </row>
    <row r="457" spans="1:24" s="39" customFormat="1" ht="12.75">
      <c r="A457" s="55"/>
      <c r="C457" s="40"/>
      <c r="E457" s="40"/>
      <c r="G457" s="40"/>
      <c r="X457" s="40"/>
    </row>
    <row r="458" spans="1:24" s="39" customFormat="1" ht="12.75">
      <c r="A458" s="55"/>
      <c r="C458" s="40"/>
      <c r="E458" s="40"/>
      <c r="G458" s="40"/>
      <c r="X458" s="40"/>
    </row>
    <row r="459" spans="1:24" s="39" customFormat="1" ht="12.75">
      <c r="A459" s="55"/>
      <c r="C459" s="40"/>
      <c r="E459" s="40"/>
      <c r="G459" s="40"/>
      <c r="X459" s="40"/>
    </row>
    <row r="460" spans="1:24" s="39" customFormat="1" ht="12.75">
      <c r="A460" s="55"/>
      <c r="C460" s="40"/>
      <c r="E460" s="40"/>
      <c r="G460" s="40"/>
      <c r="X460" s="40"/>
    </row>
    <row r="461" spans="1:24" s="39" customFormat="1" ht="12.75">
      <c r="A461" s="55"/>
      <c r="C461" s="40"/>
      <c r="E461" s="40"/>
      <c r="G461" s="40"/>
      <c r="X461" s="40"/>
    </row>
    <row r="462" spans="1:24" s="39" customFormat="1" ht="12.75">
      <c r="A462" s="55"/>
      <c r="C462" s="40"/>
      <c r="E462" s="40"/>
      <c r="G462" s="40"/>
      <c r="X462" s="40"/>
    </row>
    <row r="463" spans="1:24" s="39" customFormat="1" ht="12.75">
      <c r="A463" s="55"/>
      <c r="C463" s="40"/>
      <c r="E463" s="40"/>
      <c r="G463" s="40"/>
      <c r="X463" s="40"/>
    </row>
    <row r="464" spans="1:24" s="39" customFormat="1" ht="12.75">
      <c r="A464" s="55"/>
      <c r="C464" s="40"/>
      <c r="E464" s="40"/>
      <c r="G464" s="40"/>
      <c r="X464" s="40"/>
    </row>
    <row r="465" spans="1:24" s="39" customFormat="1" ht="12.75">
      <c r="A465" s="55"/>
      <c r="C465" s="40"/>
      <c r="E465" s="40"/>
      <c r="G465" s="40"/>
      <c r="X465" s="40"/>
    </row>
    <row r="466" spans="1:24" s="39" customFormat="1" ht="12.75">
      <c r="A466" s="55"/>
      <c r="C466" s="40"/>
      <c r="E466" s="40"/>
      <c r="G466" s="40"/>
      <c r="X466" s="40"/>
    </row>
    <row r="467" spans="1:24" s="39" customFormat="1" ht="12.75">
      <c r="A467" s="55"/>
      <c r="C467" s="40"/>
      <c r="E467" s="40"/>
      <c r="G467" s="40"/>
      <c r="X467" s="40"/>
    </row>
    <row r="468" spans="1:24" s="39" customFormat="1" ht="12.75">
      <c r="A468" s="55"/>
      <c r="C468" s="40"/>
      <c r="E468" s="40"/>
      <c r="G468" s="40"/>
      <c r="X468" s="40"/>
    </row>
    <row r="469" spans="1:24" s="39" customFormat="1" ht="12.75">
      <c r="A469" s="55"/>
      <c r="C469" s="40"/>
      <c r="E469" s="40"/>
      <c r="G469" s="40"/>
      <c r="X469" s="40"/>
    </row>
    <row r="470" spans="3:24" s="39" customFormat="1" ht="12.75">
      <c r="C470" s="40"/>
      <c r="E470" s="40"/>
      <c r="G470" s="40"/>
      <c r="X470" s="40"/>
    </row>
    <row r="471" spans="3:24" s="39" customFormat="1" ht="12.75">
      <c r="C471" s="40"/>
      <c r="E471" s="40"/>
      <c r="G471" s="40"/>
      <c r="X471" s="40"/>
    </row>
    <row r="472" spans="3:24" s="39" customFormat="1" ht="12.75">
      <c r="C472" s="40"/>
      <c r="E472" s="40"/>
      <c r="G472" s="40"/>
      <c r="X472" s="40"/>
    </row>
    <row r="473" spans="3:24" s="39" customFormat="1" ht="12.75">
      <c r="C473" s="40"/>
      <c r="E473" s="40"/>
      <c r="G473" s="40"/>
      <c r="X473" s="40"/>
    </row>
    <row r="474" spans="3:24" s="39" customFormat="1" ht="12.75">
      <c r="C474" s="40"/>
      <c r="E474" s="40"/>
      <c r="G474" s="40"/>
      <c r="X474" s="40"/>
    </row>
    <row r="475" spans="3:24" s="39" customFormat="1" ht="12.75">
      <c r="C475" s="40"/>
      <c r="E475" s="40"/>
      <c r="G475" s="40"/>
      <c r="X475" s="40"/>
    </row>
    <row r="476" spans="3:24" s="39" customFormat="1" ht="12.75">
      <c r="C476" s="40"/>
      <c r="E476" s="40"/>
      <c r="G476" s="40"/>
      <c r="X476" s="40"/>
    </row>
    <row r="477" spans="3:24" s="39" customFormat="1" ht="12.75">
      <c r="C477" s="40"/>
      <c r="E477" s="40"/>
      <c r="G477" s="40"/>
      <c r="X477" s="40"/>
    </row>
    <row r="478" spans="3:24" s="39" customFormat="1" ht="12.75">
      <c r="C478" s="40"/>
      <c r="E478" s="40"/>
      <c r="G478" s="40"/>
      <c r="X478" s="40"/>
    </row>
    <row r="479" spans="3:24" s="39" customFormat="1" ht="12.75">
      <c r="C479" s="40"/>
      <c r="E479" s="40"/>
      <c r="G479" s="40"/>
      <c r="X479" s="40"/>
    </row>
    <row r="480" spans="3:24" s="39" customFormat="1" ht="12.75">
      <c r="C480" s="40"/>
      <c r="E480" s="40"/>
      <c r="G480" s="40"/>
      <c r="X480" s="40"/>
    </row>
    <row r="481" spans="3:24" s="39" customFormat="1" ht="12.75">
      <c r="C481" s="40"/>
      <c r="E481" s="40"/>
      <c r="G481" s="40"/>
      <c r="X481" s="40"/>
    </row>
    <row r="482" spans="3:24" s="39" customFormat="1" ht="12.75">
      <c r="C482" s="40"/>
      <c r="E482" s="40"/>
      <c r="G482" s="40"/>
      <c r="X482" s="40"/>
    </row>
    <row r="483" spans="3:24" s="39" customFormat="1" ht="12.75">
      <c r="C483" s="40"/>
      <c r="E483" s="40"/>
      <c r="G483" s="40"/>
      <c r="X483" s="40"/>
    </row>
    <row r="484" spans="3:24" s="39" customFormat="1" ht="12.75">
      <c r="C484" s="40"/>
      <c r="E484" s="40"/>
      <c r="G484" s="40"/>
      <c r="X484" s="40"/>
    </row>
    <row r="485" spans="3:24" s="39" customFormat="1" ht="12.75">
      <c r="C485" s="40"/>
      <c r="E485" s="40"/>
      <c r="G485" s="40"/>
      <c r="X485" s="40"/>
    </row>
    <row r="486" spans="3:24" s="39" customFormat="1" ht="12.75">
      <c r="C486" s="40"/>
      <c r="E486" s="40"/>
      <c r="G486" s="40"/>
      <c r="X486" s="40"/>
    </row>
    <row r="487" spans="3:24" s="39" customFormat="1" ht="12.75">
      <c r="C487" s="40"/>
      <c r="E487" s="40"/>
      <c r="G487" s="40"/>
      <c r="X487" s="40"/>
    </row>
    <row r="488" spans="3:24" s="39" customFormat="1" ht="12.75">
      <c r="C488" s="40"/>
      <c r="E488" s="40"/>
      <c r="G488" s="40"/>
      <c r="X488" s="40"/>
    </row>
    <row r="489" spans="3:24" s="39" customFormat="1" ht="12.75">
      <c r="C489" s="40"/>
      <c r="E489" s="40"/>
      <c r="G489" s="40"/>
      <c r="X489" s="40"/>
    </row>
    <row r="490" spans="3:24" s="39" customFormat="1" ht="12.75">
      <c r="C490" s="40"/>
      <c r="E490" s="40"/>
      <c r="G490" s="40"/>
      <c r="X490" s="40"/>
    </row>
    <row r="491" spans="3:24" s="39" customFormat="1" ht="12.75">
      <c r="C491" s="40"/>
      <c r="E491" s="40"/>
      <c r="G491" s="40"/>
      <c r="X491" s="40"/>
    </row>
    <row r="492" spans="3:24" s="39" customFormat="1" ht="12.75">
      <c r="C492" s="40"/>
      <c r="E492" s="40"/>
      <c r="G492" s="40"/>
      <c r="X492" s="40"/>
    </row>
    <row r="493" spans="3:24" s="39" customFormat="1" ht="12.75">
      <c r="C493" s="40"/>
      <c r="E493" s="40"/>
      <c r="G493" s="40"/>
      <c r="X493" s="40"/>
    </row>
    <row r="494" spans="3:24" s="39" customFormat="1" ht="12.75">
      <c r="C494" s="40"/>
      <c r="E494" s="40"/>
      <c r="G494" s="40"/>
      <c r="X494" s="40"/>
    </row>
    <row r="495" spans="3:24" s="39" customFormat="1" ht="12.75">
      <c r="C495" s="40"/>
      <c r="E495" s="40"/>
      <c r="G495" s="40"/>
      <c r="X495" s="40"/>
    </row>
    <row r="496" spans="3:24" s="39" customFormat="1" ht="12.75">
      <c r="C496" s="40"/>
      <c r="E496" s="40"/>
      <c r="G496" s="40"/>
      <c r="X496" s="40"/>
    </row>
    <row r="497" spans="3:24" s="39" customFormat="1" ht="12.75">
      <c r="C497" s="40"/>
      <c r="E497" s="40"/>
      <c r="G497" s="40"/>
      <c r="X497" s="40"/>
    </row>
    <row r="498" spans="3:24" s="39" customFormat="1" ht="12.75">
      <c r="C498" s="40"/>
      <c r="E498" s="40"/>
      <c r="G498" s="40"/>
      <c r="X498" s="40"/>
    </row>
    <row r="499" spans="3:24" s="39" customFormat="1" ht="12.75">
      <c r="C499" s="40"/>
      <c r="E499" s="40"/>
      <c r="G499" s="40"/>
      <c r="X499" s="40"/>
    </row>
    <row r="500" spans="3:24" s="39" customFormat="1" ht="12.75">
      <c r="C500" s="40"/>
      <c r="E500" s="40"/>
      <c r="G500" s="40"/>
      <c r="X500" s="40"/>
    </row>
    <row r="501" spans="3:24" s="39" customFormat="1" ht="12.75">
      <c r="C501" s="40"/>
      <c r="E501" s="40"/>
      <c r="G501" s="40"/>
      <c r="X501" s="40"/>
    </row>
    <row r="502" spans="3:24" s="39" customFormat="1" ht="12.75">
      <c r="C502" s="40"/>
      <c r="E502" s="40"/>
      <c r="G502" s="40"/>
      <c r="X502" s="40"/>
    </row>
    <row r="503" spans="3:24" s="39" customFormat="1" ht="12.75">
      <c r="C503" s="40"/>
      <c r="E503" s="40"/>
      <c r="G503" s="40"/>
      <c r="X503" s="40"/>
    </row>
    <row r="504" spans="3:24" s="39" customFormat="1" ht="12.75">
      <c r="C504" s="40"/>
      <c r="E504" s="40"/>
      <c r="G504" s="40"/>
      <c r="X504" s="40"/>
    </row>
    <row r="505" spans="3:24" s="39" customFormat="1" ht="12.75">
      <c r="C505" s="40"/>
      <c r="E505" s="40"/>
      <c r="G505" s="40"/>
      <c r="X505" s="40"/>
    </row>
    <row r="506" spans="3:24" s="39" customFormat="1" ht="12.75">
      <c r="C506" s="40"/>
      <c r="E506" s="40"/>
      <c r="G506" s="40"/>
      <c r="X506" s="40"/>
    </row>
    <row r="507" spans="3:24" s="39" customFormat="1" ht="12.75">
      <c r="C507" s="40"/>
      <c r="E507" s="40"/>
      <c r="G507" s="40"/>
      <c r="X507" s="40"/>
    </row>
    <row r="508" spans="3:24" s="39" customFormat="1" ht="12.75">
      <c r="C508" s="40"/>
      <c r="E508" s="40"/>
      <c r="G508" s="40"/>
      <c r="X508" s="40"/>
    </row>
    <row r="509" spans="3:24" s="39" customFormat="1" ht="12.75">
      <c r="C509" s="40"/>
      <c r="E509" s="40"/>
      <c r="G509" s="40"/>
      <c r="X509" s="40"/>
    </row>
    <row r="510" spans="3:24" s="39" customFormat="1" ht="12.75">
      <c r="C510" s="40"/>
      <c r="E510" s="40"/>
      <c r="G510" s="40"/>
      <c r="X510" s="40"/>
    </row>
    <row r="511" spans="3:24" s="39" customFormat="1" ht="12.75">
      <c r="C511" s="40"/>
      <c r="E511" s="40"/>
      <c r="G511" s="40"/>
      <c r="X511" s="40"/>
    </row>
    <row r="512" spans="3:24" s="39" customFormat="1" ht="12.75">
      <c r="C512" s="40"/>
      <c r="E512" s="40"/>
      <c r="G512" s="40"/>
      <c r="X512" s="40"/>
    </row>
    <row r="513" spans="3:24" s="39" customFormat="1" ht="12.75">
      <c r="C513" s="40"/>
      <c r="E513" s="40"/>
      <c r="G513" s="40"/>
      <c r="X513" s="40"/>
    </row>
    <row r="514" spans="3:24" s="39" customFormat="1" ht="12.75">
      <c r="C514" s="40"/>
      <c r="E514" s="40"/>
      <c r="G514" s="40"/>
      <c r="X514" s="40"/>
    </row>
    <row r="515" spans="3:24" s="39" customFormat="1" ht="12.75">
      <c r="C515" s="40"/>
      <c r="E515" s="40"/>
      <c r="G515" s="40"/>
      <c r="X515" s="40"/>
    </row>
    <row r="516" spans="3:24" s="39" customFormat="1" ht="12.75">
      <c r="C516" s="40"/>
      <c r="E516" s="40"/>
      <c r="G516" s="40"/>
      <c r="X516" s="40"/>
    </row>
    <row r="517" spans="3:24" s="39" customFormat="1" ht="12.75">
      <c r="C517" s="40"/>
      <c r="E517" s="40"/>
      <c r="G517" s="40"/>
      <c r="X517" s="40"/>
    </row>
    <row r="518" spans="3:24" s="39" customFormat="1" ht="12.75">
      <c r="C518" s="40"/>
      <c r="E518" s="40"/>
      <c r="G518" s="40"/>
      <c r="X518" s="40"/>
    </row>
    <row r="519" spans="3:24" s="39" customFormat="1" ht="12.75">
      <c r="C519" s="40"/>
      <c r="E519" s="40"/>
      <c r="G519" s="40"/>
      <c r="X519" s="40"/>
    </row>
    <row r="520" spans="3:24" s="39" customFormat="1" ht="12.75">
      <c r="C520" s="40"/>
      <c r="E520" s="40"/>
      <c r="G520" s="40"/>
      <c r="X520" s="40"/>
    </row>
    <row r="521" spans="3:24" s="39" customFormat="1" ht="12.75">
      <c r="C521" s="40"/>
      <c r="E521" s="40"/>
      <c r="G521" s="40"/>
      <c r="X521" s="40"/>
    </row>
    <row r="522" spans="3:24" s="39" customFormat="1" ht="12.75">
      <c r="C522" s="40"/>
      <c r="E522" s="40"/>
      <c r="G522" s="40"/>
      <c r="X522" s="40"/>
    </row>
    <row r="523" spans="3:24" s="39" customFormat="1" ht="12.75">
      <c r="C523" s="40"/>
      <c r="E523" s="40"/>
      <c r="G523" s="40"/>
      <c r="X523" s="40"/>
    </row>
    <row r="524" spans="3:24" s="39" customFormat="1" ht="12.75">
      <c r="C524" s="40"/>
      <c r="E524" s="40"/>
      <c r="G524" s="40"/>
      <c r="X524" s="40"/>
    </row>
    <row r="525" spans="3:24" s="39" customFormat="1" ht="12.75">
      <c r="C525" s="40"/>
      <c r="E525" s="40"/>
      <c r="G525" s="40"/>
      <c r="X525" s="40"/>
    </row>
    <row r="526" spans="3:24" s="39" customFormat="1" ht="12.75">
      <c r="C526" s="40"/>
      <c r="E526" s="40"/>
      <c r="G526" s="40"/>
      <c r="X526" s="40"/>
    </row>
    <row r="527" spans="3:24" s="39" customFormat="1" ht="12.75">
      <c r="C527" s="40"/>
      <c r="E527" s="40"/>
      <c r="G527" s="40"/>
      <c r="X527" s="40"/>
    </row>
    <row r="528" spans="3:24" s="39" customFormat="1" ht="12.75">
      <c r="C528" s="40"/>
      <c r="E528" s="40"/>
      <c r="G528" s="40"/>
      <c r="X528" s="40"/>
    </row>
    <row r="529" spans="3:24" s="39" customFormat="1" ht="12.75">
      <c r="C529" s="40"/>
      <c r="E529" s="40"/>
      <c r="G529" s="40"/>
      <c r="X529" s="40"/>
    </row>
    <row r="530" spans="3:24" s="39" customFormat="1" ht="12.75">
      <c r="C530" s="40"/>
      <c r="E530" s="40"/>
      <c r="G530" s="40"/>
      <c r="X530" s="40"/>
    </row>
    <row r="531" spans="3:24" s="39" customFormat="1" ht="12.75">
      <c r="C531" s="40"/>
      <c r="E531" s="40"/>
      <c r="G531" s="40"/>
      <c r="X531" s="40"/>
    </row>
    <row r="532" spans="3:24" s="39" customFormat="1" ht="12.75">
      <c r="C532" s="40"/>
      <c r="E532" s="40"/>
      <c r="G532" s="40"/>
      <c r="X532" s="40"/>
    </row>
    <row r="533" spans="3:24" s="39" customFormat="1" ht="12.75">
      <c r="C533" s="40"/>
      <c r="E533" s="40"/>
      <c r="G533" s="40"/>
      <c r="X533" s="40"/>
    </row>
    <row r="534" spans="3:24" s="39" customFormat="1" ht="12.75">
      <c r="C534" s="40"/>
      <c r="E534" s="40"/>
      <c r="G534" s="40"/>
      <c r="X534" s="40"/>
    </row>
    <row r="535" spans="3:24" s="39" customFormat="1" ht="12.75">
      <c r="C535" s="40"/>
      <c r="E535" s="40"/>
      <c r="G535" s="40"/>
      <c r="X535" s="40"/>
    </row>
    <row r="536" spans="3:24" s="39" customFormat="1" ht="12.75">
      <c r="C536" s="40"/>
      <c r="E536" s="40"/>
      <c r="G536" s="40"/>
      <c r="X536" s="40"/>
    </row>
    <row r="537" spans="3:24" s="39" customFormat="1" ht="12.75">
      <c r="C537" s="40"/>
      <c r="E537" s="40"/>
      <c r="G537" s="40"/>
      <c r="X537" s="40"/>
    </row>
    <row r="538" spans="3:24" s="39" customFormat="1" ht="12.75">
      <c r="C538" s="40"/>
      <c r="E538" s="40"/>
      <c r="G538" s="40"/>
      <c r="X538" s="40"/>
    </row>
    <row r="539" spans="3:24" s="39" customFormat="1" ht="12.75">
      <c r="C539" s="40"/>
      <c r="E539" s="40"/>
      <c r="G539" s="40"/>
      <c r="X539" s="40"/>
    </row>
    <row r="540" spans="3:24" s="39" customFormat="1" ht="12.75">
      <c r="C540" s="40"/>
      <c r="E540" s="40"/>
      <c r="G540" s="40"/>
      <c r="X540" s="40"/>
    </row>
    <row r="541" spans="3:24" s="39" customFormat="1" ht="12.75">
      <c r="C541" s="40"/>
      <c r="E541" s="40"/>
      <c r="G541" s="40"/>
      <c r="X541" s="40"/>
    </row>
    <row r="542" spans="3:24" s="39" customFormat="1" ht="12.75">
      <c r="C542" s="40"/>
      <c r="E542" s="40"/>
      <c r="G542" s="40"/>
      <c r="X542" s="40"/>
    </row>
    <row r="543" spans="3:24" s="39" customFormat="1" ht="12.75">
      <c r="C543" s="40"/>
      <c r="E543" s="40"/>
      <c r="G543" s="40"/>
      <c r="X543" s="40"/>
    </row>
    <row r="544" spans="3:24" s="39" customFormat="1" ht="12.75">
      <c r="C544" s="40"/>
      <c r="E544" s="40"/>
      <c r="G544" s="40"/>
      <c r="X544" s="40"/>
    </row>
    <row r="545" spans="3:24" s="39" customFormat="1" ht="12.75">
      <c r="C545" s="40"/>
      <c r="E545" s="40"/>
      <c r="G545" s="40"/>
      <c r="X545" s="40"/>
    </row>
    <row r="546" spans="3:24" s="39" customFormat="1" ht="12.75">
      <c r="C546" s="40"/>
      <c r="E546" s="40"/>
      <c r="G546" s="40"/>
      <c r="X546" s="40"/>
    </row>
    <row r="547" spans="3:24" s="39" customFormat="1" ht="12.75">
      <c r="C547" s="40"/>
      <c r="E547" s="40"/>
      <c r="G547" s="40"/>
      <c r="X547" s="40"/>
    </row>
    <row r="548" spans="3:24" s="39" customFormat="1" ht="12.75">
      <c r="C548" s="40"/>
      <c r="E548" s="40"/>
      <c r="G548" s="40"/>
      <c r="X548" s="40"/>
    </row>
    <row r="549" spans="3:24" s="39" customFormat="1" ht="12.75">
      <c r="C549" s="40"/>
      <c r="E549" s="40"/>
      <c r="G549" s="40"/>
      <c r="X549" s="40"/>
    </row>
    <row r="550" spans="3:24" s="39" customFormat="1" ht="12.75">
      <c r="C550" s="40"/>
      <c r="E550" s="40"/>
      <c r="G550" s="40"/>
      <c r="X550" s="40"/>
    </row>
    <row r="551" spans="3:24" s="39" customFormat="1" ht="12.75">
      <c r="C551" s="40"/>
      <c r="E551" s="40"/>
      <c r="G551" s="40"/>
      <c r="X551" s="40"/>
    </row>
    <row r="552" spans="3:24" s="39" customFormat="1" ht="12.75">
      <c r="C552" s="40"/>
      <c r="E552" s="40"/>
      <c r="G552" s="40"/>
      <c r="X552" s="40"/>
    </row>
    <row r="553" spans="3:24" s="39" customFormat="1" ht="12.75">
      <c r="C553" s="40"/>
      <c r="E553" s="40"/>
      <c r="G553" s="40"/>
      <c r="X553" s="40"/>
    </row>
    <row r="554" spans="3:24" s="39" customFormat="1" ht="12.75">
      <c r="C554" s="40"/>
      <c r="E554" s="40"/>
      <c r="G554" s="40"/>
      <c r="X554" s="40"/>
    </row>
    <row r="555" spans="3:24" s="39" customFormat="1" ht="12.75">
      <c r="C555" s="40"/>
      <c r="E555" s="40"/>
      <c r="G555" s="40"/>
      <c r="X555" s="40"/>
    </row>
    <row r="556" spans="3:24" s="39" customFormat="1" ht="12.75">
      <c r="C556" s="40"/>
      <c r="E556" s="40"/>
      <c r="G556" s="40"/>
      <c r="X556" s="40"/>
    </row>
    <row r="557" spans="3:24" s="39" customFormat="1" ht="12.75">
      <c r="C557" s="40"/>
      <c r="E557" s="40"/>
      <c r="G557" s="40"/>
      <c r="X557" s="40"/>
    </row>
    <row r="558" spans="3:24" s="39" customFormat="1" ht="12.75">
      <c r="C558" s="40"/>
      <c r="E558" s="40"/>
      <c r="G558" s="40"/>
      <c r="X558" s="40"/>
    </row>
    <row r="559" spans="3:24" s="39" customFormat="1" ht="12.75">
      <c r="C559" s="40"/>
      <c r="E559" s="40"/>
      <c r="G559" s="40"/>
      <c r="X559" s="40"/>
    </row>
    <row r="560" spans="3:24" s="39" customFormat="1" ht="12.75">
      <c r="C560" s="40"/>
      <c r="E560" s="40"/>
      <c r="G560" s="40"/>
      <c r="X560" s="40"/>
    </row>
    <row r="561" spans="3:24" s="39" customFormat="1" ht="12.75">
      <c r="C561" s="40"/>
      <c r="E561" s="40"/>
      <c r="G561" s="40"/>
      <c r="X561" s="40"/>
    </row>
    <row r="562" spans="3:24" s="39" customFormat="1" ht="12.75">
      <c r="C562" s="40"/>
      <c r="E562" s="40"/>
      <c r="G562" s="40"/>
      <c r="X562" s="40"/>
    </row>
    <row r="563" spans="3:24" s="39" customFormat="1" ht="12.75">
      <c r="C563" s="40"/>
      <c r="E563" s="40"/>
      <c r="G563" s="40"/>
      <c r="X563" s="40"/>
    </row>
    <row r="564" spans="3:24" s="39" customFormat="1" ht="12.75">
      <c r="C564" s="40"/>
      <c r="E564" s="40"/>
      <c r="G564" s="40"/>
      <c r="X564" s="40"/>
    </row>
    <row r="565" spans="3:24" s="39" customFormat="1" ht="12.75">
      <c r="C565" s="40"/>
      <c r="E565" s="40"/>
      <c r="G565" s="40"/>
      <c r="X565" s="40"/>
    </row>
    <row r="566" spans="3:24" s="39" customFormat="1" ht="12.75">
      <c r="C566" s="40"/>
      <c r="E566" s="40"/>
      <c r="G566" s="40"/>
      <c r="X566" s="40"/>
    </row>
    <row r="567" spans="3:24" s="39" customFormat="1" ht="12.75">
      <c r="C567" s="40"/>
      <c r="E567" s="40"/>
      <c r="G567" s="40"/>
      <c r="X567" s="40"/>
    </row>
    <row r="568" spans="3:24" s="39" customFormat="1" ht="12.75">
      <c r="C568" s="40"/>
      <c r="E568" s="40"/>
      <c r="G568" s="40"/>
      <c r="X568" s="40"/>
    </row>
    <row r="569" spans="3:24" s="39" customFormat="1" ht="12.75">
      <c r="C569" s="40"/>
      <c r="E569" s="40"/>
      <c r="G569" s="40"/>
      <c r="X569" s="40"/>
    </row>
    <row r="570" spans="3:24" s="39" customFormat="1" ht="12.75">
      <c r="C570" s="40"/>
      <c r="E570" s="40"/>
      <c r="G570" s="40"/>
      <c r="X570" s="40"/>
    </row>
    <row r="571" spans="3:24" s="39" customFormat="1" ht="12.75">
      <c r="C571" s="40"/>
      <c r="E571" s="40"/>
      <c r="G571" s="40"/>
      <c r="X571" s="40"/>
    </row>
    <row r="572" spans="3:24" s="39" customFormat="1" ht="12.75">
      <c r="C572" s="40"/>
      <c r="E572" s="40"/>
      <c r="G572" s="40"/>
      <c r="X572" s="40"/>
    </row>
    <row r="573" spans="3:24" s="39" customFormat="1" ht="12.75">
      <c r="C573" s="40"/>
      <c r="E573" s="40"/>
      <c r="G573" s="40"/>
      <c r="X573" s="40"/>
    </row>
    <row r="574" spans="3:24" s="39" customFormat="1" ht="12.75">
      <c r="C574" s="40"/>
      <c r="E574" s="40"/>
      <c r="G574" s="40"/>
      <c r="X574" s="40"/>
    </row>
    <row r="575" spans="3:24" s="39" customFormat="1" ht="12.75">
      <c r="C575" s="40"/>
      <c r="E575" s="40"/>
      <c r="G575" s="40"/>
      <c r="X575" s="40"/>
    </row>
    <row r="576" spans="3:24" s="39" customFormat="1" ht="12.75">
      <c r="C576" s="40"/>
      <c r="E576" s="40"/>
      <c r="G576" s="40"/>
      <c r="X576" s="40"/>
    </row>
    <row r="577" spans="3:24" s="39" customFormat="1" ht="12.75">
      <c r="C577" s="40"/>
      <c r="E577" s="40"/>
      <c r="G577" s="40"/>
      <c r="X577" s="40"/>
    </row>
    <row r="578" spans="3:24" s="39" customFormat="1" ht="12.75">
      <c r="C578" s="40"/>
      <c r="E578" s="40"/>
      <c r="G578" s="40"/>
      <c r="X578" s="40"/>
    </row>
    <row r="579" spans="3:24" s="39" customFormat="1" ht="12.75">
      <c r="C579" s="40"/>
      <c r="E579" s="40"/>
      <c r="G579" s="40"/>
      <c r="X579" s="40"/>
    </row>
    <row r="580" spans="3:24" s="39" customFormat="1" ht="12.75">
      <c r="C580" s="40"/>
      <c r="E580" s="40"/>
      <c r="G580" s="40"/>
      <c r="X580" s="40"/>
    </row>
    <row r="581" spans="3:24" s="39" customFormat="1" ht="12.75">
      <c r="C581" s="40"/>
      <c r="E581" s="40"/>
      <c r="G581" s="40"/>
      <c r="X581" s="40"/>
    </row>
    <row r="582" spans="3:24" s="39" customFormat="1" ht="12.75">
      <c r="C582" s="40"/>
      <c r="E582" s="40"/>
      <c r="G582" s="40"/>
      <c r="X582" s="40"/>
    </row>
    <row r="583" spans="3:24" s="39" customFormat="1" ht="12.75">
      <c r="C583" s="40"/>
      <c r="E583" s="40"/>
      <c r="G583" s="40"/>
      <c r="X583" s="40"/>
    </row>
    <row r="584" spans="3:24" s="39" customFormat="1" ht="12.75">
      <c r="C584" s="40"/>
      <c r="E584" s="40"/>
      <c r="G584" s="40"/>
      <c r="X584" s="40"/>
    </row>
    <row r="585" spans="3:24" s="39" customFormat="1" ht="12.75">
      <c r="C585" s="40"/>
      <c r="E585" s="40"/>
      <c r="G585" s="40"/>
      <c r="X585" s="40"/>
    </row>
    <row r="586" spans="3:24" s="39" customFormat="1" ht="12.75">
      <c r="C586" s="40"/>
      <c r="E586" s="40"/>
      <c r="G586" s="40"/>
      <c r="X586" s="40"/>
    </row>
    <row r="587" spans="3:24" s="39" customFormat="1" ht="12.75">
      <c r="C587" s="40"/>
      <c r="E587" s="40"/>
      <c r="G587" s="40"/>
      <c r="X587" s="40"/>
    </row>
    <row r="588" spans="3:24" s="39" customFormat="1" ht="12.75">
      <c r="C588" s="40"/>
      <c r="E588" s="40"/>
      <c r="G588" s="40"/>
      <c r="X588" s="40"/>
    </row>
    <row r="589" spans="3:24" s="39" customFormat="1" ht="12.75">
      <c r="C589" s="40"/>
      <c r="E589" s="40"/>
      <c r="G589" s="40"/>
      <c r="X589" s="40"/>
    </row>
    <row r="590" spans="3:24" s="39" customFormat="1" ht="12.75">
      <c r="C590" s="40"/>
      <c r="E590" s="40"/>
      <c r="G590" s="40"/>
      <c r="X590" s="40"/>
    </row>
    <row r="591" spans="3:24" s="39" customFormat="1" ht="12.75">
      <c r="C591" s="40"/>
      <c r="E591" s="40"/>
      <c r="G591" s="40"/>
      <c r="X591" s="40"/>
    </row>
    <row r="592" spans="3:24" s="39" customFormat="1" ht="12.75">
      <c r="C592" s="40"/>
      <c r="E592" s="40"/>
      <c r="G592" s="40"/>
      <c r="X592" s="40"/>
    </row>
    <row r="593" spans="3:24" s="39" customFormat="1" ht="12.75">
      <c r="C593" s="40"/>
      <c r="E593" s="40"/>
      <c r="G593" s="40"/>
      <c r="X593" s="40"/>
    </row>
    <row r="594" spans="3:24" s="39" customFormat="1" ht="12.75">
      <c r="C594" s="40"/>
      <c r="E594" s="40"/>
      <c r="G594" s="40"/>
      <c r="X594" s="40"/>
    </row>
    <row r="595" spans="3:24" s="39" customFormat="1" ht="12.75">
      <c r="C595" s="40"/>
      <c r="E595" s="40"/>
      <c r="G595" s="40"/>
      <c r="X595" s="40"/>
    </row>
    <row r="596" spans="3:24" s="39" customFormat="1" ht="12.75">
      <c r="C596" s="40"/>
      <c r="E596" s="40"/>
      <c r="G596" s="40"/>
      <c r="X596" s="40"/>
    </row>
    <row r="597" spans="3:24" s="39" customFormat="1" ht="12.75">
      <c r="C597" s="40"/>
      <c r="E597" s="40"/>
      <c r="G597" s="40"/>
      <c r="X597" s="40"/>
    </row>
    <row r="598" spans="3:24" s="39" customFormat="1" ht="12.75">
      <c r="C598" s="40"/>
      <c r="E598" s="40"/>
      <c r="G598" s="40"/>
      <c r="X598" s="40"/>
    </row>
    <row r="599" spans="3:24" s="39" customFormat="1" ht="12.75">
      <c r="C599" s="40"/>
      <c r="E599" s="40"/>
      <c r="G599" s="40"/>
      <c r="X599" s="40"/>
    </row>
    <row r="600" spans="3:24" s="39" customFormat="1" ht="12.75">
      <c r="C600" s="40"/>
      <c r="E600" s="40"/>
      <c r="G600" s="40"/>
      <c r="X600" s="40"/>
    </row>
    <row r="601" spans="3:24" s="39" customFormat="1" ht="12.75">
      <c r="C601" s="40"/>
      <c r="E601" s="40"/>
      <c r="G601" s="40"/>
      <c r="X601" s="40"/>
    </row>
    <row r="602" spans="3:24" s="39" customFormat="1" ht="12.75">
      <c r="C602" s="40"/>
      <c r="E602" s="40"/>
      <c r="G602" s="40"/>
      <c r="X602" s="40"/>
    </row>
    <row r="603" spans="3:24" s="39" customFormat="1" ht="12.75">
      <c r="C603" s="40"/>
      <c r="E603" s="40"/>
      <c r="G603" s="40"/>
      <c r="X603" s="40"/>
    </row>
    <row r="604" spans="3:24" s="39" customFormat="1" ht="12.75">
      <c r="C604" s="40"/>
      <c r="E604" s="40"/>
      <c r="G604" s="40"/>
      <c r="X604" s="40"/>
    </row>
    <row r="605" spans="3:24" s="39" customFormat="1" ht="12.75">
      <c r="C605" s="40"/>
      <c r="E605" s="40"/>
      <c r="G605" s="40"/>
      <c r="X605" s="40"/>
    </row>
    <row r="606" spans="3:24" s="39" customFormat="1" ht="12.75">
      <c r="C606" s="40"/>
      <c r="E606" s="40"/>
      <c r="G606" s="40"/>
      <c r="X606" s="40"/>
    </row>
    <row r="607" spans="3:24" s="39" customFormat="1" ht="12.75">
      <c r="C607" s="40"/>
      <c r="E607" s="40"/>
      <c r="G607" s="40"/>
      <c r="X607" s="40"/>
    </row>
    <row r="608" spans="3:24" s="39" customFormat="1" ht="12.75">
      <c r="C608" s="40"/>
      <c r="E608" s="40"/>
      <c r="G608" s="40"/>
      <c r="X608" s="40"/>
    </row>
    <row r="609" spans="3:24" s="39" customFormat="1" ht="12.75">
      <c r="C609" s="40"/>
      <c r="E609" s="40"/>
      <c r="G609" s="40"/>
      <c r="X609" s="40"/>
    </row>
    <row r="610" spans="3:24" s="39" customFormat="1" ht="12.75">
      <c r="C610" s="40"/>
      <c r="E610" s="40"/>
      <c r="G610" s="40"/>
      <c r="X610" s="40"/>
    </row>
    <row r="611" spans="3:24" s="39" customFormat="1" ht="12.75">
      <c r="C611" s="40"/>
      <c r="E611" s="40"/>
      <c r="G611" s="40"/>
      <c r="X611" s="40"/>
    </row>
    <row r="612" spans="3:24" s="39" customFormat="1" ht="12.75">
      <c r="C612" s="40"/>
      <c r="E612" s="40"/>
      <c r="G612" s="40"/>
      <c r="X612" s="40"/>
    </row>
    <row r="613" spans="3:24" s="39" customFormat="1" ht="12.75">
      <c r="C613" s="40"/>
      <c r="E613" s="40"/>
      <c r="G613" s="40"/>
      <c r="X613" s="40"/>
    </row>
    <row r="614" spans="3:24" s="39" customFormat="1" ht="12.75">
      <c r="C614" s="40"/>
      <c r="E614" s="40"/>
      <c r="G614" s="40"/>
      <c r="X614" s="40"/>
    </row>
    <row r="615" spans="3:24" s="39" customFormat="1" ht="12.75">
      <c r="C615" s="40"/>
      <c r="E615" s="40"/>
      <c r="G615" s="40"/>
      <c r="X615" s="40"/>
    </row>
    <row r="616" spans="3:24" s="39" customFormat="1" ht="12.75">
      <c r="C616" s="40"/>
      <c r="E616" s="40"/>
      <c r="G616" s="40"/>
      <c r="X616" s="40"/>
    </row>
    <row r="617" spans="3:24" s="39" customFormat="1" ht="12.75">
      <c r="C617" s="40"/>
      <c r="E617" s="40"/>
      <c r="G617" s="40"/>
      <c r="X617" s="40"/>
    </row>
    <row r="618" spans="3:24" s="39" customFormat="1" ht="12.75">
      <c r="C618" s="40"/>
      <c r="E618" s="40"/>
      <c r="G618" s="40"/>
      <c r="X618" s="40"/>
    </row>
    <row r="619" spans="3:24" s="39" customFormat="1" ht="12.75">
      <c r="C619" s="40"/>
      <c r="E619" s="40"/>
      <c r="G619" s="40"/>
      <c r="X619" s="40"/>
    </row>
    <row r="620" spans="3:24" s="39" customFormat="1" ht="12.75">
      <c r="C620" s="40"/>
      <c r="E620" s="40"/>
      <c r="G620" s="40"/>
      <c r="X620" s="40"/>
    </row>
    <row r="621" spans="3:24" s="39" customFormat="1" ht="12.75">
      <c r="C621" s="40"/>
      <c r="E621" s="40"/>
      <c r="G621" s="40"/>
      <c r="X621" s="40"/>
    </row>
    <row r="622" spans="3:24" s="39" customFormat="1" ht="12.75">
      <c r="C622" s="40"/>
      <c r="E622" s="40"/>
      <c r="G622" s="40"/>
      <c r="X622" s="40"/>
    </row>
    <row r="623" spans="3:24" s="39" customFormat="1" ht="12.75">
      <c r="C623" s="40"/>
      <c r="E623" s="40"/>
      <c r="G623" s="40"/>
      <c r="X623" s="40"/>
    </row>
    <row r="624" spans="3:24" s="39" customFormat="1" ht="12.75">
      <c r="C624" s="40"/>
      <c r="E624" s="40"/>
      <c r="G624" s="40"/>
      <c r="X624" s="40"/>
    </row>
    <row r="625" spans="3:24" s="39" customFormat="1" ht="12.75">
      <c r="C625" s="40"/>
      <c r="E625" s="40"/>
      <c r="G625" s="40"/>
      <c r="X625" s="40"/>
    </row>
    <row r="626" spans="3:24" s="39" customFormat="1" ht="12.75">
      <c r="C626" s="40"/>
      <c r="E626" s="40"/>
      <c r="G626" s="40"/>
      <c r="X626" s="40"/>
    </row>
    <row r="627" spans="3:24" s="39" customFormat="1" ht="12.75">
      <c r="C627" s="40"/>
      <c r="E627" s="40"/>
      <c r="G627" s="40"/>
      <c r="X627" s="40"/>
    </row>
    <row r="628" spans="3:24" s="39" customFormat="1" ht="12.75">
      <c r="C628" s="40"/>
      <c r="E628" s="40"/>
      <c r="G628" s="40"/>
      <c r="X628" s="40"/>
    </row>
    <row r="629" spans="3:24" s="39" customFormat="1" ht="12.75">
      <c r="C629" s="40"/>
      <c r="E629" s="40"/>
      <c r="G629" s="40"/>
      <c r="X629" s="40"/>
    </row>
    <row r="630" spans="3:24" s="39" customFormat="1" ht="12.75">
      <c r="C630" s="40"/>
      <c r="E630" s="40"/>
      <c r="G630" s="40"/>
      <c r="X630" s="40"/>
    </row>
    <row r="631" spans="3:24" s="39" customFormat="1" ht="12.75">
      <c r="C631" s="40"/>
      <c r="E631" s="40"/>
      <c r="G631" s="40"/>
      <c r="X631" s="40"/>
    </row>
    <row r="632" spans="3:24" s="39" customFormat="1" ht="12.75">
      <c r="C632" s="40"/>
      <c r="E632" s="40"/>
      <c r="G632" s="40"/>
      <c r="X632" s="40"/>
    </row>
    <row r="633" spans="3:24" s="39" customFormat="1" ht="12.75">
      <c r="C633" s="40"/>
      <c r="E633" s="40"/>
      <c r="G633" s="40"/>
      <c r="X633" s="40"/>
    </row>
    <row r="634" spans="3:24" s="39" customFormat="1" ht="12.75">
      <c r="C634" s="40"/>
      <c r="E634" s="40"/>
      <c r="G634" s="40"/>
      <c r="X634" s="40"/>
    </row>
    <row r="635" spans="3:24" s="39" customFormat="1" ht="12.75">
      <c r="C635" s="40"/>
      <c r="E635" s="40"/>
      <c r="G635" s="40"/>
      <c r="X635" s="40"/>
    </row>
    <row r="636" spans="3:24" s="39" customFormat="1" ht="12.75">
      <c r="C636" s="40"/>
      <c r="E636" s="40"/>
      <c r="G636" s="40"/>
      <c r="X636" s="40"/>
    </row>
    <row r="637" spans="3:24" s="39" customFormat="1" ht="12.75">
      <c r="C637" s="40"/>
      <c r="E637" s="40"/>
      <c r="G637" s="40"/>
      <c r="X637" s="40"/>
    </row>
    <row r="638" spans="3:24" s="39" customFormat="1" ht="12.75">
      <c r="C638" s="40"/>
      <c r="E638" s="40"/>
      <c r="G638" s="40"/>
      <c r="X638" s="40"/>
    </row>
    <row r="639" spans="3:24" s="39" customFormat="1" ht="12.75">
      <c r="C639" s="40"/>
      <c r="E639" s="40"/>
      <c r="G639" s="40"/>
      <c r="X639" s="40"/>
    </row>
    <row r="640" spans="3:24" s="39" customFormat="1" ht="12.75">
      <c r="C640" s="40"/>
      <c r="E640" s="40"/>
      <c r="G640" s="40"/>
      <c r="X640" s="40"/>
    </row>
    <row r="641" spans="3:24" s="39" customFormat="1" ht="12.75">
      <c r="C641" s="40"/>
      <c r="E641" s="40"/>
      <c r="G641" s="40"/>
      <c r="X641" s="40"/>
    </row>
    <row r="642" spans="3:24" s="39" customFormat="1" ht="12.75">
      <c r="C642" s="40"/>
      <c r="E642" s="40"/>
      <c r="G642" s="40"/>
      <c r="X642" s="40"/>
    </row>
    <row r="643" spans="3:24" s="39" customFormat="1" ht="12.75">
      <c r="C643" s="40"/>
      <c r="E643" s="40"/>
      <c r="G643" s="40"/>
      <c r="X643" s="40"/>
    </row>
    <row r="644" spans="3:24" s="39" customFormat="1" ht="12.75">
      <c r="C644" s="40"/>
      <c r="E644" s="40"/>
      <c r="G644" s="40"/>
      <c r="X644" s="40"/>
    </row>
    <row r="645" spans="3:24" s="39" customFormat="1" ht="12.75">
      <c r="C645" s="40"/>
      <c r="E645" s="40"/>
      <c r="G645" s="40"/>
      <c r="X645" s="40"/>
    </row>
    <row r="646" spans="3:24" s="39" customFormat="1" ht="12.75">
      <c r="C646" s="40"/>
      <c r="E646" s="40"/>
      <c r="G646" s="40"/>
      <c r="X646" s="40"/>
    </row>
    <row r="647" spans="3:24" s="39" customFormat="1" ht="12.75">
      <c r="C647" s="40"/>
      <c r="E647" s="40"/>
      <c r="G647" s="40"/>
      <c r="X647" s="40"/>
    </row>
    <row r="648" spans="3:24" s="39" customFormat="1" ht="12.75">
      <c r="C648" s="40"/>
      <c r="E648" s="40"/>
      <c r="G648" s="40"/>
      <c r="X648" s="40"/>
    </row>
    <row r="649" spans="3:24" s="39" customFormat="1" ht="12.75">
      <c r="C649" s="40"/>
      <c r="E649" s="40"/>
      <c r="G649" s="40"/>
      <c r="X649" s="40"/>
    </row>
    <row r="650" spans="3:24" s="39" customFormat="1" ht="12.75">
      <c r="C650" s="40"/>
      <c r="E650" s="40"/>
      <c r="G650" s="40"/>
      <c r="X650" s="40"/>
    </row>
    <row r="651" spans="3:24" s="39" customFormat="1" ht="12.75">
      <c r="C651" s="40"/>
      <c r="E651" s="40"/>
      <c r="G651" s="40"/>
      <c r="X651" s="40"/>
    </row>
    <row r="652" spans="3:24" s="39" customFormat="1" ht="12.75">
      <c r="C652" s="40"/>
      <c r="E652" s="40"/>
      <c r="G652" s="40"/>
      <c r="X652" s="40"/>
    </row>
    <row r="653" spans="3:24" s="39" customFormat="1" ht="12.75">
      <c r="C653" s="40"/>
      <c r="E653" s="40"/>
      <c r="G653" s="40"/>
      <c r="X653" s="40"/>
    </row>
    <row r="654" spans="3:24" s="39" customFormat="1" ht="12.75">
      <c r="C654" s="40"/>
      <c r="E654" s="40"/>
      <c r="G654" s="40"/>
      <c r="X654" s="40"/>
    </row>
    <row r="655" spans="3:24" s="39" customFormat="1" ht="12.75">
      <c r="C655" s="40"/>
      <c r="E655" s="40"/>
      <c r="G655" s="40"/>
      <c r="X655" s="40"/>
    </row>
    <row r="656" spans="3:24" s="39" customFormat="1" ht="12.75">
      <c r="C656" s="40"/>
      <c r="E656" s="40"/>
      <c r="G656" s="40"/>
      <c r="X656" s="40"/>
    </row>
    <row r="657" spans="3:24" s="39" customFormat="1" ht="12.75">
      <c r="C657" s="40"/>
      <c r="E657" s="40"/>
      <c r="G657" s="40"/>
      <c r="X657" s="40"/>
    </row>
    <row r="658" spans="3:24" s="39" customFormat="1" ht="12.75">
      <c r="C658" s="40"/>
      <c r="E658" s="40"/>
      <c r="G658" s="40"/>
      <c r="X658" s="40"/>
    </row>
    <row r="659" spans="3:24" s="39" customFormat="1" ht="12.75">
      <c r="C659" s="40"/>
      <c r="E659" s="40"/>
      <c r="G659" s="40"/>
      <c r="X659" s="40"/>
    </row>
    <row r="660" spans="3:24" s="39" customFormat="1" ht="12.75">
      <c r="C660" s="40"/>
      <c r="E660" s="40"/>
      <c r="G660" s="40"/>
      <c r="X660" s="40"/>
    </row>
    <row r="661" spans="3:24" s="39" customFormat="1" ht="12.75">
      <c r="C661" s="40"/>
      <c r="E661" s="40"/>
      <c r="G661" s="40"/>
      <c r="X661" s="40"/>
    </row>
    <row r="662" spans="3:24" s="39" customFormat="1" ht="12.75">
      <c r="C662" s="40"/>
      <c r="E662" s="40"/>
      <c r="G662" s="40"/>
      <c r="X662" s="40"/>
    </row>
    <row r="663" spans="3:24" s="39" customFormat="1" ht="12.75">
      <c r="C663" s="40"/>
      <c r="E663" s="40"/>
      <c r="G663" s="40"/>
      <c r="X663" s="40"/>
    </row>
    <row r="664" spans="3:24" s="39" customFormat="1" ht="12.75">
      <c r="C664" s="40"/>
      <c r="E664" s="40"/>
      <c r="G664" s="40"/>
      <c r="X664" s="40"/>
    </row>
    <row r="665" spans="3:24" s="39" customFormat="1" ht="12.75">
      <c r="C665" s="40"/>
      <c r="E665" s="40"/>
      <c r="G665" s="40"/>
      <c r="X665" s="40"/>
    </row>
    <row r="666" spans="3:24" s="39" customFormat="1" ht="12.75">
      <c r="C666" s="40"/>
      <c r="E666" s="40"/>
      <c r="G666" s="40"/>
      <c r="X666" s="40"/>
    </row>
    <row r="667" spans="3:24" s="39" customFormat="1" ht="12.75">
      <c r="C667" s="40"/>
      <c r="E667" s="40"/>
      <c r="G667" s="40"/>
      <c r="X667" s="40"/>
    </row>
    <row r="668" spans="3:24" s="39" customFormat="1" ht="12.75">
      <c r="C668" s="40"/>
      <c r="E668" s="40"/>
      <c r="G668" s="40"/>
      <c r="X668" s="40"/>
    </row>
    <row r="669" spans="3:24" s="39" customFormat="1" ht="12.75">
      <c r="C669" s="40"/>
      <c r="E669" s="40"/>
      <c r="G669" s="40"/>
      <c r="X669" s="40"/>
    </row>
    <row r="670" spans="3:24" s="39" customFormat="1" ht="12.75">
      <c r="C670" s="40"/>
      <c r="E670" s="40"/>
      <c r="G670" s="40"/>
      <c r="X670" s="40"/>
    </row>
    <row r="671" spans="3:24" s="39" customFormat="1" ht="12.75">
      <c r="C671" s="40"/>
      <c r="E671" s="40"/>
      <c r="G671" s="40"/>
      <c r="X671" s="40"/>
    </row>
    <row r="672" spans="3:24" s="39" customFormat="1" ht="12.75">
      <c r="C672" s="40"/>
      <c r="E672" s="40"/>
      <c r="G672" s="40"/>
      <c r="X672" s="40"/>
    </row>
    <row r="673" spans="3:24" s="39" customFormat="1" ht="12.75">
      <c r="C673" s="40"/>
      <c r="E673" s="40"/>
      <c r="G673" s="40"/>
      <c r="X673" s="40"/>
    </row>
    <row r="674" spans="3:24" s="39" customFormat="1" ht="12.75">
      <c r="C674" s="40"/>
      <c r="E674" s="40"/>
      <c r="G674" s="40"/>
      <c r="X674" s="40"/>
    </row>
    <row r="675" spans="3:24" s="39" customFormat="1" ht="12.75">
      <c r="C675" s="40"/>
      <c r="E675" s="40"/>
      <c r="G675" s="40"/>
      <c r="X675" s="40"/>
    </row>
    <row r="676" spans="3:24" s="39" customFormat="1" ht="12.75">
      <c r="C676" s="40"/>
      <c r="E676" s="40"/>
      <c r="G676" s="40"/>
      <c r="X676" s="40"/>
    </row>
    <row r="677" spans="3:24" s="39" customFormat="1" ht="12.75">
      <c r="C677" s="40"/>
      <c r="E677" s="40"/>
      <c r="G677" s="40"/>
      <c r="X677" s="40"/>
    </row>
    <row r="678" spans="3:24" s="39" customFormat="1" ht="12.75">
      <c r="C678" s="40"/>
      <c r="E678" s="40"/>
      <c r="G678" s="40"/>
      <c r="X678" s="40"/>
    </row>
    <row r="679" spans="3:24" s="39" customFormat="1" ht="12.75">
      <c r="C679" s="40"/>
      <c r="E679" s="40"/>
      <c r="G679" s="40"/>
      <c r="X679" s="40"/>
    </row>
    <row r="680" spans="3:24" s="39" customFormat="1" ht="12.75">
      <c r="C680" s="40"/>
      <c r="E680" s="40"/>
      <c r="G680" s="40"/>
      <c r="X680" s="40"/>
    </row>
    <row r="681" spans="3:24" s="39" customFormat="1" ht="12.75">
      <c r="C681" s="40"/>
      <c r="E681" s="40"/>
      <c r="G681" s="40"/>
      <c r="X681" s="40"/>
    </row>
    <row r="682" spans="3:24" s="39" customFormat="1" ht="12.75">
      <c r="C682" s="40"/>
      <c r="E682" s="40"/>
      <c r="G682" s="40"/>
      <c r="X682" s="40"/>
    </row>
    <row r="683" spans="3:24" s="39" customFormat="1" ht="12.75">
      <c r="C683" s="40"/>
      <c r="E683" s="40"/>
      <c r="G683" s="40"/>
      <c r="X683" s="40"/>
    </row>
    <row r="684" spans="3:24" s="39" customFormat="1" ht="12.75">
      <c r="C684" s="40"/>
      <c r="E684" s="40"/>
      <c r="G684" s="40"/>
      <c r="X684" s="40"/>
    </row>
    <row r="685" spans="3:24" s="39" customFormat="1" ht="12.75">
      <c r="C685" s="40"/>
      <c r="E685" s="40"/>
      <c r="G685" s="40"/>
      <c r="X685" s="40"/>
    </row>
    <row r="686" spans="3:24" s="39" customFormat="1" ht="12.75">
      <c r="C686" s="40"/>
      <c r="E686" s="40"/>
      <c r="G686" s="40"/>
      <c r="X686" s="40"/>
    </row>
    <row r="687" spans="3:24" s="39" customFormat="1" ht="12.75">
      <c r="C687" s="40"/>
      <c r="E687" s="40"/>
      <c r="G687" s="40"/>
      <c r="X687" s="40"/>
    </row>
    <row r="688" spans="3:24" s="39" customFormat="1" ht="12.75">
      <c r="C688" s="40"/>
      <c r="E688" s="40"/>
      <c r="G688" s="40"/>
      <c r="X688" s="40"/>
    </row>
    <row r="689" spans="3:24" s="39" customFormat="1" ht="12.75">
      <c r="C689" s="40"/>
      <c r="E689" s="40"/>
      <c r="G689" s="40"/>
      <c r="X689" s="40"/>
    </row>
    <row r="690" spans="3:24" s="39" customFormat="1" ht="12.75">
      <c r="C690" s="40"/>
      <c r="E690" s="40"/>
      <c r="G690" s="40"/>
      <c r="X690" s="40"/>
    </row>
    <row r="691" spans="3:24" s="39" customFormat="1" ht="12.75">
      <c r="C691" s="40"/>
      <c r="E691" s="40"/>
      <c r="G691" s="40"/>
      <c r="X691" s="40"/>
    </row>
    <row r="692" spans="3:24" s="39" customFormat="1" ht="12.75">
      <c r="C692" s="40"/>
      <c r="E692" s="40"/>
      <c r="G692" s="40"/>
      <c r="X692" s="40"/>
    </row>
    <row r="693" spans="3:24" s="39" customFormat="1" ht="12.75">
      <c r="C693" s="40"/>
      <c r="E693" s="40"/>
      <c r="G693" s="40"/>
      <c r="X693" s="40"/>
    </row>
    <row r="694" spans="3:24" s="39" customFormat="1" ht="12.75">
      <c r="C694" s="40"/>
      <c r="E694" s="40"/>
      <c r="G694" s="40"/>
      <c r="X694" s="40"/>
    </row>
    <row r="695" spans="3:24" s="39" customFormat="1" ht="12.75">
      <c r="C695" s="40"/>
      <c r="E695" s="40"/>
      <c r="G695" s="40"/>
      <c r="X695" s="40"/>
    </row>
    <row r="696" spans="3:24" s="39" customFormat="1" ht="12.75">
      <c r="C696" s="40"/>
      <c r="E696" s="40"/>
      <c r="G696" s="40"/>
      <c r="X696" s="40"/>
    </row>
    <row r="697" spans="3:24" s="39" customFormat="1" ht="12.75">
      <c r="C697" s="40"/>
      <c r="E697" s="40"/>
      <c r="G697" s="40"/>
      <c r="X697" s="40"/>
    </row>
    <row r="698" spans="3:24" s="39" customFormat="1" ht="12.75">
      <c r="C698" s="40"/>
      <c r="E698" s="40"/>
      <c r="G698" s="40"/>
      <c r="X698" s="40"/>
    </row>
    <row r="699" spans="3:24" s="39" customFormat="1" ht="12.75">
      <c r="C699" s="40"/>
      <c r="E699" s="40"/>
      <c r="G699" s="40"/>
      <c r="X699" s="40"/>
    </row>
    <row r="700" spans="3:24" s="39" customFormat="1" ht="12.75">
      <c r="C700" s="40"/>
      <c r="E700" s="40"/>
      <c r="G700" s="40"/>
      <c r="X700" s="40"/>
    </row>
    <row r="701" spans="3:24" s="39" customFormat="1" ht="12.75">
      <c r="C701" s="40"/>
      <c r="E701" s="40"/>
      <c r="G701" s="40"/>
      <c r="X701" s="40"/>
    </row>
    <row r="702" spans="3:24" s="39" customFormat="1" ht="12.75">
      <c r="C702" s="40"/>
      <c r="E702" s="40"/>
      <c r="G702" s="40"/>
      <c r="X702" s="40"/>
    </row>
    <row r="703" spans="3:24" s="39" customFormat="1" ht="12.75">
      <c r="C703" s="40"/>
      <c r="E703" s="40"/>
      <c r="G703" s="40"/>
      <c r="X703" s="40"/>
    </row>
    <row r="704" spans="3:24" s="39" customFormat="1" ht="12.75">
      <c r="C704" s="40"/>
      <c r="E704" s="40"/>
      <c r="G704" s="40"/>
      <c r="X704" s="40"/>
    </row>
    <row r="705" spans="3:24" s="39" customFormat="1" ht="12.75">
      <c r="C705" s="40"/>
      <c r="E705" s="40"/>
      <c r="G705" s="40"/>
      <c r="X705" s="40"/>
    </row>
    <row r="706" spans="3:24" s="39" customFormat="1" ht="12.75">
      <c r="C706" s="40"/>
      <c r="E706" s="40"/>
      <c r="G706" s="40"/>
      <c r="X706" s="40"/>
    </row>
    <row r="707" spans="3:24" s="39" customFormat="1" ht="12.75">
      <c r="C707" s="40"/>
      <c r="E707" s="40"/>
      <c r="G707" s="40"/>
      <c r="X707" s="40"/>
    </row>
    <row r="708" spans="3:24" s="39" customFormat="1" ht="12.75">
      <c r="C708" s="40"/>
      <c r="E708" s="40"/>
      <c r="G708" s="40"/>
      <c r="X708" s="40"/>
    </row>
    <row r="709" spans="3:24" s="39" customFormat="1" ht="12.75">
      <c r="C709" s="40"/>
      <c r="E709" s="40"/>
      <c r="G709" s="40"/>
      <c r="X709" s="40"/>
    </row>
    <row r="710" spans="3:24" s="39" customFormat="1" ht="12.75">
      <c r="C710" s="40"/>
      <c r="E710" s="40"/>
      <c r="G710" s="40"/>
      <c r="X710" s="40"/>
    </row>
    <row r="711" spans="3:24" s="39" customFormat="1" ht="12.75">
      <c r="C711" s="40"/>
      <c r="E711" s="40"/>
      <c r="G711" s="40"/>
      <c r="X711" s="40"/>
    </row>
    <row r="712" spans="3:24" s="39" customFormat="1" ht="12.75">
      <c r="C712" s="40"/>
      <c r="E712" s="40"/>
      <c r="G712" s="40"/>
      <c r="X712" s="40"/>
    </row>
    <row r="713" spans="3:24" s="39" customFormat="1" ht="12.75">
      <c r="C713" s="40"/>
      <c r="E713" s="40"/>
      <c r="G713" s="40"/>
      <c r="X713" s="40"/>
    </row>
    <row r="714" spans="3:24" s="39" customFormat="1" ht="12.75">
      <c r="C714" s="40"/>
      <c r="E714" s="40"/>
      <c r="G714" s="40"/>
      <c r="X714" s="40"/>
    </row>
    <row r="715" spans="3:24" s="39" customFormat="1" ht="12.75">
      <c r="C715" s="40"/>
      <c r="E715" s="40"/>
      <c r="G715" s="40"/>
      <c r="X715" s="40"/>
    </row>
    <row r="716" spans="3:24" s="39" customFormat="1" ht="12.75">
      <c r="C716" s="40"/>
      <c r="E716" s="40"/>
      <c r="G716" s="40"/>
      <c r="X716" s="40"/>
    </row>
    <row r="717" spans="3:24" s="39" customFormat="1" ht="12.75">
      <c r="C717" s="40"/>
      <c r="E717" s="40"/>
      <c r="G717" s="40"/>
      <c r="X717" s="40"/>
    </row>
    <row r="718" spans="3:24" s="39" customFormat="1" ht="12.75">
      <c r="C718" s="40"/>
      <c r="E718" s="40"/>
      <c r="G718" s="40"/>
      <c r="X718" s="40"/>
    </row>
    <row r="719" spans="3:24" s="39" customFormat="1" ht="12.75">
      <c r="C719" s="40"/>
      <c r="E719" s="40"/>
      <c r="G719" s="40"/>
      <c r="X719" s="40"/>
    </row>
    <row r="720" spans="3:24" s="39" customFormat="1" ht="12.75">
      <c r="C720" s="40"/>
      <c r="E720" s="40"/>
      <c r="G720" s="40"/>
      <c r="X720" s="40"/>
    </row>
    <row r="721" spans="3:24" s="39" customFormat="1" ht="12.75">
      <c r="C721" s="40"/>
      <c r="E721" s="40"/>
      <c r="G721" s="40"/>
      <c r="X721" s="40"/>
    </row>
    <row r="722" spans="3:24" s="39" customFormat="1" ht="12.75">
      <c r="C722" s="40"/>
      <c r="E722" s="40"/>
      <c r="G722" s="40"/>
      <c r="X722" s="40"/>
    </row>
    <row r="723" spans="3:24" s="39" customFormat="1" ht="12.75">
      <c r="C723" s="40"/>
      <c r="E723" s="40"/>
      <c r="G723" s="40"/>
      <c r="X723" s="40"/>
    </row>
    <row r="724" spans="3:24" s="39" customFormat="1" ht="12.75">
      <c r="C724" s="40"/>
      <c r="E724" s="40"/>
      <c r="G724" s="40"/>
      <c r="X724" s="40"/>
    </row>
    <row r="725" spans="3:24" s="39" customFormat="1" ht="12.75">
      <c r="C725" s="40"/>
      <c r="E725" s="40"/>
      <c r="G725" s="40"/>
      <c r="X725" s="40"/>
    </row>
    <row r="726" spans="3:24" s="39" customFormat="1" ht="12.75">
      <c r="C726" s="40"/>
      <c r="E726" s="40"/>
      <c r="G726" s="40"/>
      <c r="X726" s="40"/>
    </row>
    <row r="727" spans="3:24" s="39" customFormat="1" ht="12.75">
      <c r="C727" s="40"/>
      <c r="E727" s="40"/>
      <c r="G727" s="40"/>
      <c r="X727" s="40"/>
    </row>
    <row r="728" spans="3:24" s="39" customFormat="1" ht="12.75">
      <c r="C728" s="40"/>
      <c r="E728" s="40"/>
      <c r="G728" s="40"/>
      <c r="X728" s="40"/>
    </row>
    <row r="729" spans="3:24" s="39" customFormat="1" ht="12.75">
      <c r="C729" s="40"/>
      <c r="E729" s="40"/>
      <c r="G729" s="40"/>
      <c r="X729" s="40"/>
    </row>
    <row r="730" spans="3:24" s="39" customFormat="1" ht="12.75">
      <c r="C730" s="40"/>
      <c r="E730" s="40"/>
      <c r="G730" s="40"/>
      <c r="X730" s="40"/>
    </row>
    <row r="731" spans="3:24" s="39" customFormat="1" ht="12.75">
      <c r="C731" s="40"/>
      <c r="E731" s="40"/>
      <c r="G731" s="40"/>
      <c r="X731" s="40"/>
    </row>
    <row r="732" spans="3:24" s="39" customFormat="1" ht="12.75">
      <c r="C732" s="40"/>
      <c r="E732" s="40"/>
      <c r="G732" s="40"/>
      <c r="X732" s="40"/>
    </row>
    <row r="733" spans="3:24" s="39" customFormat="1" ht="12.75">
      <c r="C733" s="40"/>
      <c r="E733" s="40"/>
      <c r="G733" s="40"/>
      <c r="X733" s="40"/>
    </row>
    <row r="734" spans="3:24" s="39" customFormat="1" ht="12.75">
      <c r="C734" s="40"/>
      <c r="E734" s="40"/>
      <c r="G734" s="40"/>
      <c r="X734" s="40"/>
    </row>
    <row r="735" spans="3:24" s="39" customFormat="1" ht="12.75">
      <c r="C735" s="40"/>
      <c r="E735" s="40"/>
      <c r="G735" s="40"/>
      <c r="X735" s="40"/>
    </row>
    <row r="736" spans="3:24" s="39" customFormat="1" ht="12.75">
      <c r="C736" s="40"/>
      <c r="E736" s="40"/>
      <c r="G736" s="40"/>
      <c r="X736" s="40"/>
    </row>
    <row r="737" spans="3:24" s="39" customFormat="1" ht="12.75">
      <c r="C737" s="40"/>
      <c r="E737" s="40"/>
      <c r="G737" s="40"/>
      <c r="X737" s="40"/>
    </row>
    <row r="738" spans="3:24" s="39" customFormat="1" ht="12.75">
      <c r="C738" s="40"/>
      <c r="E738" s="40"/>
      <c r="G738" s="40"/>
      <c r="X738" s="40"/>
    </row>
    <row r="739" spans="3:24" s="39" customFormat="1" ht="12.75">
      <c r="C739" s="40"/>
      <c r="E739" s="40"/>
      <c r="G739" s="40"/>
      <c r="X739" s="40"/>
    </row>
    <row r="740" spans="3:24" s="39" customFormat="1" ht="12.75">
      <c r="C740" s="40"/>
      <c r="E740" s="40"/>
      <c r="G740" s="40"/>
      <c r="X740" s="40"/>
    </row>
    <row r="741" spans="3:24" s="39" customFormat="1" ht="12.75">
      <c r="C741" s="40"/>
      <c r="E741" s="40"/>
      <c r="G741" s="40"/>
      <c r="X741" s="40"/>
    </row>
    <row r="742" spans="3:24" s="39" customFormat="1" ht="12.75">
      <c r="C742" s="40"/>
      <c r="E742" s="40"/>
      <c r="G742" s="40"/>
      <c r="X742" s="40"/>
    </row>
    <row r="743" spans="3:24" s="39" customFormat="1" ht="12.75">
      <c r="C743" s="40"/>
      <c r="E743" s="40"/>
      <c r="G743" s="40"/>
      <c r="X743" s="40"/>
    </row>
    <row r="744" spans="3:24" s="39" customFormat="1" ht="12.75">
      <c r="C744" s="40"/>
      <c r="E744" s="40"/>
      <c r="G744" s="40"/>
      <c r="X744" s="40"/>
    </row>
    <row r="745" spans="3:24" s="39" customFormat="1" ht="12.75">
      <c r="C745" s="40"/>
      <c r="E745" s="40"/>
      <c r="G745" s="40"/>
      <c r="X745" s="40"/>
    </row>
    <row r="746" spans="3:24" s="39" customFormat="1" ht="12.75">
      <c r="C746" s="40"/>
      <c r="E746" s="40"/>
      <c r="G746" s="40"/>
      <c r="X746" s="40"/>
    </row>
    <row r="747" spans="3:24" s="39" customFormat="1" ht="12.75">
      <c r="C747" s="40"/>
      <c r="E747" s="40"/>
      <c r="G747" s="40"/>
      <c r="X747" s="40"/>
    </row>
    <row r="748" spans="3:24" s="39" customFormat="1" ht="12.75">
      <c r="C748" s="40"/>
      <c r="E748" s="40"/>
      <c r="G748" s="40"/>
      <c r="X748" s="40"/>
    </row>
    <row r="749" spans="3:24" s="39" customFormat="1" ht="12.75">
      <c r="C749" s="40"/>
      <c r="E749" s="40"/>
      <c r="G749" s="40"/>
      <c r="X749" s="40"/>
    </row>
    <row r="750" spans="3:24" s="39" customFormat="1" ht="12.75">
      <c r="C750" s="40"/>
      <c r="E750" s="40"/>
      <c r="G750" s="40"/>
      <c r="X750" s="40"/>
    </row>
    <row r="751" spans="3:24" s="39" customFormat="1" ht="12.75">
      <c r="C751" s="40"/>
      <c r="E751" s="40"/>
      <c r="G751" s="40"/>
      <c r="X751" s="40"/>
    </row>
    <row r="752" spans="3:24" s="39" customFormat="1" ht="12.75">
      <c r="C752" s="40"/>
      <c r="E752" s="40"/>
      <c r="G752" s="40"/>
      <c r="X752" s="40"/>
    </row>
    <row r="753" spans="3:24" s="39" customFormat="1" ht="12.75">
      <c r="C753" s="40"/>
      <c r="E753" s="40"/>
      <c r="G753" s="40"/>
      <c r="X753" s="40"/>
    </row>
    <row r="754" spans="3:24" s="39" customFormat="1" ht="12.75">
      <c r="C754" s="40"/>
      <c r="E754" s="40"/>
      <c r="G754" s="40"/>
      <c r="X754" s="40"/>
    </row>
    <row r="755" spans="3:24" s="39" customFormat="1" ht="12.75">
      <c r="C755" s="40"/>
      <c r="E755" s="40"/>
      <c r="G755" s="40"/>
      <c r="X755" s="40"/>
    </row>
    <row r="756" spans="3:24" s="39" customFormat="1" ht="12.75">
      <c r="C756" s="40"/>
      <c r="E756" s="40"/>
      <c r="G756" s="40"/>
      <c r="X756" s="40"/>
    </row>
    <row r="757" spans="3:24" s="39" customFormat="1" ht="12.75">
      <c r="C757" s="40"/>
      <c r="E757" s="40"/>
      <c r="G757" s="40"/>
      <c r="X757" s="40"/>
    </row>
    <row r="758" spans="3:24" s="39" customFormat="1" ht="12.75">
      <c r="C758" s="40"/>
      <c r="E758" s="40"/>
      <c r="G758" s="40"/>
      <c r="X758" s="40"/>
    </row>
    <row r="759" spans="3:24" s="39" customFormat="1" ht="12.75">
      <c r="C759" s="40"/>
      <c r="E759" s="40"/>
      <c r="G759" s="40"/>
      <c r="X759" s="40"/>
    </row>
    <row r="760" spans="3:24" s="39" customFormat="1" ht="12.75">
      <c r="C760" s="40"/>
      <c r="E760" s="40"/>
      <c r="G760" s="40"/>
      <c r="X760" s="40"/>
    </row>
    <row r="761" spans="3:24" s="39" customFormat="1" ht="12.75">
      <c r="C761" s="40"/>
      <c r="E761" s="40"/>
      <c r="G761" s="40"/>
      <c r="X761" s="40"/>
    </row>
    <row r="762" spans="3:24" s="39" customFormat="1" ht="12.75">
      <c r="C762" s="40"/>
      <c r="E762" s="40"/>
      <c r="G762" s="40"/>
      <c r="X762" s="40"/>
    </row>
    <row r="763" spans="3:24" s="39" customFormat="1" ht="12.75">
      <c r="C763" s="40"/>
      <c r="E763" s="40"/>
      <c r="G763" s="40"/>
      <c r="X763" s="40"/>
    </row>
    <row r="764" spans="3:24" s="39" customFormat="1" ht="12.75">
      <c r="C764" s="40"/>
      <c r="E764" s="40"/>
      <c r="G764" s="40"/>
      <c r="X764" s="40"/>
    </row>
    <row r="765" spans="3:24" s="39" customFormat="1" ht="12.75">
      <c r="C765" s="40"/>
      <c r="E765" s="40"/>
      <c r="G765" s="40"/>
      <c r="X765" s="40"/>
    </row>
    <row r="766" spans="3:24" s="39" customFormat="1" ht="12.75">
      <c r="C766" s="40"/>
      <c r="E766" s="40"/>
      <c r="G766" s="40"/>
      <c r="X766" s="40"/>
    </row>
    <row r="767" spans="3:24" s="39" customFormat="1" ht="12.75">
      <c r="C767" s="40"/>
      <c r="E767" s="40"/>
      <c r="G767" s="40"/>
      <c r="X767" s="40"/>
    </row>
    <row r="768" spans="3:24" s="39" customFormat="1" ht="12.75">
      <c r="C768" s="40"/>
      <c r="E768" s="40"/>
      <c r="G768" s="40"/>
      <c r="X768" s="40"/>
    </row>
    <row r="769" spans="3:24" s="39" customFormat="1" ht="12.75">
      <c r="C769" s="40"/>
      <c r="E769" s="40"/>
      <c r="G769" s="40"/>
      <c r="X769" s="40"/>
    </row>
    <row r="770" spans="3:24" s="39" customFormat="1" ht="12.75">
      <c r="C770" s="40"/>
      <c r="E770" s="40"/>
      <c r="G770" s="40"/>
      <c r="X770" s="40"/>
    </row>
    <row r="771" spans="3:24" s="39" customFormat="1" ht="12.75">
      <c r="C771" s="40"/>
      <c r="E771" s="40"/>
      <c r="G771" s="40"/>
      <c r="X771" s="40"/>
    </row>
    <row r="772" spans="3:24" s="39" customFormat="1" ht="12.75">
      <c r="C772" s="40"/>
      <c r="E772" s="40"/>
      <c r="G772" s="40"/>
      <c r="X772" s="40"/>
    </row>
    <row r="773" spans="3:24" s="39" customFormat="1" ht="12.75">
      <c r="C773" s="40"/>
      <c r="E773" s="40"/>
      <c r="G773" s="40"/>
      <c r="X773" s="40"/>
    </row>
    <row r="774" spans="3:24" s="39" customFormat="1" ht="12.75">
      <c r="C774" s="40"/>
      <c r="E774" s="40"/>
      <c r="G774" s="40"/>
      <c r="X774" s="40"/>
    </row>
    <row r="775" spans="3:24" s="39" customFormat="1" ht="12.75">
      <c r="C775" s="40"/>
      <c r="E775" s="40"/>
      <c r="G775" s="40"/>
      <c r="X775" s="40"/>
    </row>
    <row r="776" spans="3:24" s="39" customFormat="1" ht="12.75">
      <c r="C776" s="40"/>
      <c r="E776" s="40"/>
      <c r="G776" s="40"/>
      <c r="X776" s="40"/>
    </row>
    <row r="777" spans="3:24" s="39" customFormat="1" ht="12.75">
      <c r="C777" s="40"/>
      <c r="E777" s="40"/>
      <c r="G777" s="40"/>
      <c r="X777" s="40"/>
    </row>
    <row r="778" spans="3:24" s="39" customFormat="1" ht="12.75">
      <c r="C778" s="40"/>
      <c r="E778" s="40"/>
      <c r="G778" s="40"/>
      <c r="X778" s="40"/>
    </row>
    <row r="779" spans="3:24" s="39" customFormat="1" ht="12.75">
      <c r="C779" s="40"/>
      <c r="E779" s="40"/>
      <c r="G779" s="40"/>
      <c r="X779" s="40"/>
    </row>
    <row r="780" spans="3:24" s="39" customFormat="1" ht="12.75">
      <c r="C780" s="40"/>
      <c r="E780" s="40"/>
      <c r="G780" s="40"/>
      <c r="X780" s="40"/>
    </row>
    <row r="781" spans="3:24" s="39" customFormat="1" ht="12.75">
      <c r="C781" s="40"/>
      <c r="E781" s="40"/>
      <c r="G781" s="40"/>
      <c r="X781" s="40"/>
    </row>
    <row r="782" spans="3:24" s="39" customFormat="1" ht="12.75">
      <c r="C782" s="40"/>
      <c r="E782" s="40"/>
      <c r="G782" s="40"/>
      <c r="X782" s="40"/>
    </row>
    <row r="783" spans="3:24" s="39" customFormat="1" ht="12.75">
      <c r="C783" s="40"/>
      <c r="E783" s="40"/>
      <c r="G783" s="40"/>
      <c r="X783" s="40"/>
    </row>
    <row r="784" spans="3:24" s="39" customFormat="1" ht="12.75">
      <c r="C784" s="40"/>
      <c r="E784" s="40"/>
      <c r="G784" s="40"/>
      <c r="X784" s="40"/>
    </row>
    <row r="785" spans="3:24" s="39" customFormat="1" ht="12.75">
      <c r="C785" s="40"/>
      <c r="E785" s="40"/>
      <c r="G785" s="40"/>
      <c r="X785" s="40"/>
    </row>
    <row r="786" spans="3:24" s="39" customFormat="1" ht="12.75">
      <c r="C786" s="40"/>
      <c r="E786" s="40"/>
      <c r="G786" s="40"/>
      <c r="X786" s="40"/>
    </row>
    <row r="787" spans="3:24" s="39" customFormat="1" ht="12.75">
      <c r="C787" s="40"/>
      <c r="E787" s="40"/>
      <c r="G787" s="40"/>
      <c r="X787" s="40"/>
    </row>
    <row r="788" spans="3:24" s="39" customFormat="1" ht="12.75">
      <c r="C788" s="40"/>
      <c r="E788" s="40"/>
      <c r="G788" s="40"/>
      <c r="X788" s="40"/>
    </row>
    <row r="789" spans="3:24" s="39" customFormat="1" ht="12.75">
      <c r="C789" s="40"/>
      <c r="E789" s="40"/>
      <c r="G789" s="40"/>
      <c r="X789" s="40"/>
    </row>
    <row r="790" spans="3:24" s="39" customFormat="1" ht="12.75">
      <c r="C790" s="40"/>
      <c r="E790" s="40"/>
      <c r="G790" s="40"/>
      <c r="X790" s="40"/>
    </row>
    <row r="791" spans="3:24" s="39" customFormat="1" ht="12.75">
      <c r="C791" s="40"/>
      <c r="E791" s="40"/>
      <c r="G791" s="40"/>
      <c r="X791" s="40"/>
    </row>
    <row r="792" spans="3:24" s="39" customFormat="1" ht="12.75">
      <c r="C792" s="40"/>
      <c r="E792" s="40"/>
      <c r="G792" s="40"/>
      <c r="X792" s="40"/>
    </row>
    <row r="793" spans="3:24" s="39" customFormat="1" ht="12.75">
      <c r="C793" s="40"/>
      <c r="E793" s="40"/>
      <c r="G793" s="40"/>
      <c r="X793" s="40"/>
    </row>
    <row r="794" spans="3:24" s="39" customFormat="1" ht="12.75">
      <c r="C794" s="40"/>
      <c r="E794" s="40"/>
      <c r="G794" s="40"/>
      <c r="X794" s="40"/>
    </row>
    <row r="795" spans="3:24" s="39" customFormat="1" ht="12.75">
      <c r="C795" s="40"/>
      <c r="E795" s="40"/>
      <c r="G795" s="40"/>
      <c r="X795" s="40"/>
    </row>
    <row r="796" spans="3:24" s="39" customFormat="1" ht="12.75">
      <c r="C796" s="40"/>
      <c r="E796" s="40"/>
      <c r="G796" s="40"/>
      <c r="X796" s="40"/>
    </row>
    <row r="797" spans="3:24" s="39" customFormat="1" ht="12.75">
      <c r="C797" s="40"/>
      <c r="E797" s="40"/>
      <c r="G797" s="40"/>
      <c r="X797" s="40"/>
    </row>
    <row r="798" spans="3:24" s="39" customFormat="1" ht="12.75">
      <c r="C798" s="40"/>
      <c r="E798" s="40"/>
      <c r="G798" s="40"/>
      <c r="X798" s="40"/>
    </row>
    <row r="799" spans="3:24" s="39" customFormat="1" ht="12.75">
      <c r="C799" s="40"/>
      <c r="E799" s="40"/>
      <c r="G799" s="40"/>
      <c r="X799" s="40"/>
    </row>
    <row r="800" spans="3:24" s="39" customFormat="1" ht="12.75">
      <c r="C800" s="40"/>
      <c r="E800" s="40"/>
      <c r="G800" s="40"/>
      <c r="X800" s="40"/>
    </row>
    <row r="801" spans="3:24" s="39" customFormat="1" ht="12.75">
      <c r="C801" s="40"/>
      <c r="E801" s="40"/>
      <c r="G801" s="40"/>
      <c r="X801" s="40"/>
    </row>
    <row r="802" spans="3:24" s="39" customFormat="1" ht="12.75">
      <c r="C802" s="40"/>
      <c r="E802" s="40"/>
      <c r="G802" s="40"/>
      <c r="X802" s="40"/>
    </row>
    <row r="803" spans="3:24" s="39" customFormat="1" ht="12.75">
      <c r="C803" s="40"/>
      <c r="E803" s="40"/>
      <c r="G803" s="40"/>
      <c r="X803" s="40"/>
    </row>
    <row r="804" spans="3:24" s="39" customFormat="1" ht="12.75">
      <c r="C804" s="40"/>
      <c r="E804" s="40"/>
      <c r="G804" s="40"/>
      <c r="X804" s="40"/>
    </row>
    <row r="805" spans="3:24" s="39" customFormat="1" ht="12.75">
      <c r="C805" s="40"/>
      <c r="E805" s="40"/>
      <c r="G805" s="40"/>
      <c r="X805" s="40"/>
    </row>
    <row r="806" spans="3:24" s="39" customFormat="1" ht="12.75">
      <c r="C806" s="40"/>
      <c r="E806" s="40"/>
      <c r="G806" s="40"/>
      <c r="X806" s="40"/>
    </row>
    <row r="807" spans="3:24" s="39" customFormat="1" ht="12.75">
      <c r="C807" s="40"/>
      <c r="E807" s="40"/>
      <c r="G807" s="40"/>
      <c r="X807" s="40"/>
    </row>
    <row r="808" spans="3:24" s="39" customFormat="1" ht="12.75">
      <c r="C808" s="40"/>
      <c r="E808" s="40"/>
      <c r="G808" s="40"/>
      <c r="X808" s="40"/>
    </row>
    <row r="809" spans="3:24" s="39" customFormat="1" ht="12.75">
      <c r="C809" s="40"/>
      <c r="E809" s="40"/>
      <c r="G809" s="40"/>
      <c r="X809" s="40"/>
    </row>
    <row r="810" spans="3:24" s="39" customFormat="1" ht="12.75">
      <c r="C810" s="40"/>
      <c r="E810" s="40"/>
      <c r="G810" s="40"/>
      <c r="X810" s="40"/>
    </row>
    <row r="811" spans="3:24" s="39" customFormat="1" ht="12.75">
      <c r="C811" s="40"/>
      <c r="E811" s="40"/>
      <c r="G811" s="40"/>
      <c r="X811" s="40"/>
    </row>
    <row r="812" spans="3:24" s="39" customFormat="1" ht="12.75">
      <c r="C812" s="40"/>
      <c r="E812" s="40"/>
      <c r="G812" s="40"/>
      <c r="X812" s="40"/>
    </row>
    <row r="813" spans="3:24" s="39" customFormat="1" ht="12.75">
      <c r="C813" s="40"/>
      <c r="E813" s="40"/>
      <c r="G813" s="40"/>
      <c r="X813" s="40"/>
    </row>
    <row r="814" spans="3:24" s="39" customFormat="1" ht="12.75">
      <c r="C814" s="40"/>
      <c r="E814" s="40"/>
      <c r="G814" s="40"/>
      <c r="X814" s="40"/>
    </row>
    <row r="815" spans="3:24" s="39" customFormat="1" ht="12.75">
      <c r="C815" s="40"/>
      <c r="E815" s="40"/>
      <c r="G815" s="40"/>
      <c r="X815" s="40"/>
    </row>
    <row r="816" spans="3:24" s="39" customFormat="1" ht="12.75">
      <c r="C816" s="40"/>
      <c r="E816" s="40"/>
      <c r="G816" s="40"/>
      <c r="X816" s="40"/>
    </row>
    <row r="817" spans="3:24" s="39" customFormat="1" ht="12.75">
      <c r="C817" s="40"/>
      <c r="E817" s="40"/>
      <c r="G817" s="40"/>
      <c r="X817" s="40"/>
    </row>
    <row r="818" spans="3:24" s="39" customFormat="1" ht="12.75">
      <c r="C818" s="40"/>
      <c r="E818" s="40"/>
      <c r="G818" s="40"/>
      <c r="X818" s="40"/>
    </row>
    <row r="819" spans="3:24" s="39" customFormat="1" ht="12.75">
      <c r="C819" s="40"/>
      <c r="E819" s="40"/>
      <c r="G819" s="40"/>
      <c r="X819" s="40"/>
    </row>
    <row r="820" spans="3:24" s="39" customFormat="1" ht="12.75">
      <c r="C820" s="40"/>
      <c r="E820" s="40"/>
      <c r="G820" s="40"/>
      <c r="X820" s="40"/>
    </row>
    <row r="821" spans="3:24" s="39" customFormat="1" ht="12.75">
      <c r="C821" s="40"/>
      <c r="E821" s="40"/>
      <c r="G821" s="40"/>
      <c r="X821" s="40"/>
    </row>
    <row r="822" spans="3:24" s="39" customFormat="1" ht="12.75">
      <c r="C822" s="40"/>
      <c r="E822" s="40"/>
      <c r="G822" s="40"/>
      <c r="X822" s="40"/>
    </row>
    <row r="823" spans="3:24" s="39" customFormat="1" ht="12.75">
      <c r="C823" s="40"/>
      <c r="E823" s="40"/>
      <c r="G823" s="40"/>
      <c r="X823" s="40"/>
    </row>
    <row r="824" spans="3:24" s="39" customFormat="1" ht="12.75">
      <c r="C824" s="40"/>
      <c r="E824" s="40"/>
      <c r="G824" s="40"/>
      <c r="X824" s="40"/>
    </row>
    <row r="825" spans="3:24" s="39" customFormat="1" ht="12.75">
      <c r="C825" s="40"/>
      <c r="E825" s="40"/>
      <c r="G825" s="40"/>
      <c r="X825" s="40"/>
    </row>
    <row r="826" spans="3:24" s="39" customFormat="1" ht="12.75">
      <c r="C826" s="40"/>
      <c r="E826" s="40"/>
      <c r="G826" s="40"/>
      <c r="X826" s="40"/>
    </row>
    <row r="827" spans="3:24" s="39" customFormat="1" ht="12.75">
      <c r="C827" s="40"/>
      <c r="E827" s="40"/>
      <c r="G827" s="40"/>
      <c r="X827" s="40"/>
    </row>
    <row r="828" spans="3:24" s="39" customFormat="1" ht="12.75">
      <c r="C828" s="40"/>
      <c r="E828" s="40"/>
      <c r="G828" s="40"/>
      <c r="X828" s="40"/>
    </row>
    <row r="829" spans="3:24" s="39" customFormat="1" ht="12.75">
      <c r="C829" s="40"/>
      <c r="E829" s="40"/>
      <c r="G829" s="40"/>
      <c r="X829" s="40"/>
    </row>
    <row r="830" spans="3:24" s="39" customFormat="1" ht="12.75">
      <c r="C830" s="40"/>
      <c r="E830" s="40"/>
      <c r="G830" s="40"/>
      <c r="X830" s="40"/>
    </row>
    <row r="831" spans="3:24" s="39" customFormat="1" ht="12.75">
      <c r="C831" s="40"/>
      <c r="E831" s="40"/>
      <c r="G831" s="40"/>
      <c r="X831" s="40"/>
    </row>
    <row r="832" spans="3:24" s="39" customFormat="1" ht="12.75">
      <c r="C832" s="40"/>
      <c r="E832" s="40"/>
      <c r="G832" s="40"/>
      <c r="X832" s="40"/>
    </row>
    <row r="833" spans="3:24" s="39" customFormat="1" ht="12.75">
      <c r="C833" s="40"/>
      <c r="E833" s="40"/>
      <c r="G833" s="40"/>
      <c r="X833" s="40"/>
    </row>
    <row r="834" spans="3:24" s="39" customFormat="1" ht="12.75">
      <c r="C834" s="40"/>
      <c r="E834" s="40"/>
      <c r="G834" s="40"/>
      <c r="X834" s="40"/>
    </row>
    <row r="835" spans="3:24" s="39" customFormat="1" ht="12.75">
      <c r="C835" s="40"/>
      <c r="E835" s="40"/>
      <c r="G835" s="40"/>
      <c r="X835" s="40"/>
    </row>
    <row r="836" spans="3:24" s="39" customFormat="1" ht="12.75">
      <c r="C836" s="40"/>
      <c r="E836" s="40"/>
      <c r="G836" s="40"/>
      <c r="X836" s="40"/>
    </row>
    <row r="837" spans="3:24" s="39" customFormat="1" ht="12.75">
      <c r="C837" s="40"/>
      <c r="E837" s="40"/>
      <c r="G837" s="40"/>
      <c r="X837" s="40"/>
    </row>
    <row r="838" spans="3:24" s="39" customFormat="1" ht="12.75">
      <c r="C838" s="40"/>
      <c r="E838" s="40"/>
      <c r="G838" s="40"/>
      <c r="X838" s="40"/>
    </row>
    <row r="839" spans="3:24" s="39" customFormat="1" ht="12.75">
      <c r="C839" s="40"/>
      <c r="E839" s="40"/>
      <c r="G839" s="40"/>
      <c r="X839" s="40"/>
    </row>
    <row r="840" spans="3:24" s="39" customFormat="1" ht="12.75">
      <c r="C840" s="40"/>
      <c r="E840" s="40"/>
      <c r="G840" s="40"/>
      <c r="X840" s="40"/>
    </row>
    <row r="841" spans="3:24" s="39" customFormat="1" ht="12.75">
      <c r="C841" s="40"/>
      <c r="E841" s="40"/>
      <c r="G841" s="40"/>
      <c r="X841" s="40"/>
    </row>
    <row r="842" spans="3:24" s="39" customFormat="1" ht="12.75">
      <c r="C842" s="40"/>
      <c r="E842" s="40"/>
      <c r="G842" s="40"/>
      <c r="X842" s="40"/>
    </row>
    <row r="843" spans="3:24" s="39" customFormat="1" ht="12.75">
      <c r="C843" s="40"/>
      <c r="E843" s="40"/>
      <c r="G843" s="40"/>
      <c r="X843" s="40"/>
    </row>
    <row r="844" spans="3:24" s="39" customFormat="1" ht="12.75">
      <c r="C844" s="40"/>
      <c r="E844" s="40"/>
      <c r="G844" s="40"/>
      <c r="X844" s="40"/>
    </row>
    <row r="845" spans="3:24" s="39" customFormat="1" ht="12.75">
      <c r="C845" s="40"/>
      <c r="E845" s="40"/>
      <c r="G845" s="40"/>
      <c r="X845" s="40"/>
    </row>
    <row r="846" spans="3:24" s="39" customFormat="1" ht="12.75">
      <c r="C846" s="40"/>
      <c r="E846" s="40"/>
      <c r="G846" s="40"/>
      <c r="X846" s="40"/>
    </row>
    <row r="847" spans="3:24" s="39" customFormat="1" ht="12.75">
      <c r="C847" s="40"/>
      <c r="E847" s="40"/>
      <c r="G847" s="40"/>
      <c r="X847" s="40"/>
    </row>
    <row r="848" spans="3:24" s="39" customFormat="1" ht="12.75">
      <c r="C848" s="40"/>
      <c r="E848" s="40"/>
      <c r="G848" s="40"/>
      <c r="X848" s="40"/>
    </row>
    <row r="849" spans="3:24" s="39" customFormat="1" ht="12.75">
      <c r="C849" s="40"/>
      <c r="E849" s="40"/>
      <c r="G849" s="40"/>
      <c r="X849" s="40"/>
    </row>
    <row r="850" spans="3:24" s="39" customFormat="1" ht="12.75">
      <c r="C850" s="40"/>
      <c r="E850" s="40"/>
      <c r="G850" s="40"/>
      <c r="X850" s="40"/>
    </row>
    <row r="851" spans="3:24" s="39" customFormat="1" ht="12.75">
      <c r="C851" s="40"/>
      <c r="E851" s="40"/>
      <c r="G851" s="40"/>
      <c r="X851" s="40"/>
    </row>
    <row r="852" spans="3:24" s="39" customFormat="1" ht="12.75">
      <c r="C852" s="40"/>
      <c r="E852" s="40"/>
      <c r="G852" s="40"/>
      <c r="X852" s="40"/>
    </row>
    <row r="853" spans="3:24" s="39" customFormat="1" ht="12.75">
      <c r="C853" s="40"/>
      <c r="E853" s="40"/>
      <c r="G853" s="40"/>
      <c r="X853" s="40"/>
    </row>
    <row r="854" spans="3:24" s="39" customFormat="1" ht="12.75">
      <c r="C854" s="40"/>
      <c r="E854" s="40"/>
      <c r="G854" s="40"/>
      <c r="X854" s="40"/>
    </row>
    <row r="855" spans="3:24" s="39" customFormat="1" ht="12.75">
      <c r="C855" s="40"/>
      <c r="E855" s="40"/>
      <c r="G855" s="40"/>
      <c r="X855" s="40"/>
    </row>
    <row r="856" spans="3:24" s="39" customFormat="1" ht="12.75">
      <c r="C856" s="40"/>
      <c r="E856" s="40"/>
      <c r="G856" s="40"/>
      <c r="X856" s="40"/>
    </row>
    <row r="857" spans="3:24" s="39" customFormat="1" ht="12.75">
      <c r="C857" s="40"/>
      <c r="E857" s="40"/>
      <c r="G857" s="40"/>
      <c r="X857" s="40"/>
    </row>
    <row r="858" spans="3:24" s="39" customFormat="1" ht="12.75">
      <c r="C858" s="40"/>
      <c r="E858" s="40"/>
      <c r="G858" s="40"/>
      <c r="X858" s="40"/>
    </row>
    <row r="859" spans="3:24" s="39" customFormat="1" ht="12.75">
      <c r="C859" s="40"/>
      <c r="E859" s="40"/>
      <c r="G859" s="40"/>
      <c r="X859" s="40"/>
    </row>
    <row r="860" spans="3:24" s="39" customFormat="1" ht="12.75">
      <c r="C860" s="40"/>
      <c r="E860" s="40"/>
      <c r="G860" s="40"/>
      <c r="X860" s="40"/>
    </row>
    <row r="861" spans="3:24" s="39" customFormat="1" ht="12.75">
      <c r="C861" s="40"/>
      <c r="E861" s="40"/>
      <c r="G861" s="40"/>
      <c r="X861" s="40"/>
    </row>
    <row r="862" spans="3:24" s="39" customFormat="1" ht="12.75">
      <c r="C862" s="40"/>
      <c r="E862" s="40"/>
      <c r="G862" s="40"/>
      <c r="X862" s="40"/>
    </row>
    <row r="863" spans="3:24" s="39" customFormat="1" ht="12.75">
      <c r="C863" s="40"/>
      <c r="E863" s="40"/>
      <c r="G863" s="40"/>
      <c r="X863" s="40"/>
    </row>
    <row r="864" spans="3:24" s="39" customFormat="1" ht="12.75">
      <c r="C864" s="40"/>
      <c r="E864" s="40"/>
      <c r="G864" s="40"/>
      <c r="X864" s="40"/>
    </row>
    <row r="865" spans="3:24" s="39" customFormat="1" ht="12.75">
      <c r="C865" s="40"/>
      <c r="E865" s="40"/>
      <c r="G865" s="40"/>
      <c r="X865" s="40"/>
    </row>
    <row r="866" spans="3:24" s="39" customFormat="1" ht="12.75">
      <c r="C866" s="40"/>
      <c r="E866" s="40"/>
      <c r="G866" s="40"/>
      <c r="X866" s="40"/>
    </row>
    <row r="867" spans="3:24" s="39" customFormat="1" ht="12.75">
      <c r="C867" s="40"/>
      <c r="E867" s="40"/>
      <c r="G867" s="40"/>
      <c r="X867" s="40"/>
    </row>
    <row r="868" spans="3:24" s="39" customFormat="1" ht="12.75">
      <c r="C868" s="40"/>
      <c r="E868" s="40"/>
      <c r="G868" s="40"/>
      <c r="X868" s="40"/>
    </row>
    <row r="869" spans="3:24" s="39" customFormat="1" ht="12.75">
      <c r="C869" s="40"/>
      <c r="E869" s="40"/>
      <c r="G869" s="40"/>
      <c r="X869" s="40"/>
    </row>
    <row r="870" spans="3:24" s="39" customFormat="1" ht="12.75">
      <c r="C870" s="40"/>
      <c r="E870" s="40"/>
      <c r="G870" s="40"/>
      <c r="X870" s="40"/>
    </row>
    <row r="871" spans="3:24" s="39" customFormat="1" ht="12.75">
      <c r="C871" s="40"/>
      <c r="E871" s="40"/>
      <c r="G871" s="40"/>
      <c r="X871" s="40"/>
    </row>
    <row r="872" spans="3:24" s="39" customFormat="1" ht="12.75">
      <c r="C872" s="40"/>
      <c r="E872" s="40"/>
      <c r="G872" s="40"/>
      <c r="X872" s="40"/>
    </row>
    <row r="873" spans="3:24" s="39" customFormat="1" ht="12.75">
      <c r="C873" s="40"/>
      <c r="E873" s="40"/>
      <c r="G873" s="40"/>
      <c r="X873" s="40"/>
    </row>
    <row r="874" spans="3:24" s="39" customFormat="1" ht="12.75">
      <c r="C874" s="40"/>
      <c r="E874" s="40"/>
      <c r="G874" s="40"/>
      <c r="X874" s="40"/>
    </row>
    <row r="875" spans="3:24" s="39" customFormat="1" ht="12.75">
      <c r="C875" s="40"/>
      <c r="E875" s="40"/>
      <c r="G875" s="40"/>
      <c r="X875" s="40"/>
    </row>
    <row r="876" spans="3:24" s="39" customFormat="1" ht="12.75">
      <c r="C876" s="40"/>
      <c r="E876" s="40"/>
      <c r="G876" s="40"/>
      <c r="X876" s="40"/>
    </row>
    <row r="877" spans="3:24" s="39" customFormat="1" ht="12.75">
      <c r="C877" s="40"/>
      <c r="E877" s="40"/>
      <c r="G877" s="40"/>
      <c r="X877" s="40"/>
    </row>
    <row r="878" spans="3:24" s="39" customFormat="1" ht="12.75">
      <c r="C878" s="40"/>
      <c r="E878" s="40"/>
      <c r="G878" s="40"/>
      <c r="X878" s="40"/>
    </row>
    <row r="879" spans="3:24" s="39" customFormat="1" ht="12.75">
      <c r="C879" s="40"/>
      <c r="E879" s="40"/>
      <c r="G879" s="40"/>
      <c r="X879" s="40"/>
    </row>
    <row r="880" spans="3:24" s="39" customFormat="1" ht="12.75">
      <c r="C880" s="40"/>
      <c r="E880" s="40"/>
      <c r="G880" s="40"/>
      <c r="X880" s="40"/>
    </row>
    <row r="881" spans="3:24" s="39" customFormat="1" ht="12.75">
      <c r="C881" s="40"/>
      <c r="E881" s="40"/>
      <c r="G881" s="40"/>
      <c r="X881" s="40"/>
    </row>
    <row r="882" spans="3:24" s="39" customFormat="1" ht="12.75">
      <c r="C882" s="40"/>
      <c r="E882" s="40"/>
      <c r="G882" s="40"/>
      <c r="X882" s="40"/>
    </row>
    <row r="883" spans="3:24" s="39" customFormat="1" ht="12.75">
      <c r="C883" s="40"/>
      <c r="E883" s="40"/>
      <c r="G883" s="40"/>
      <c r="X883" s="40"/>
    </row>
    <row r="884" spans="3:24" s="39" customFormat="1" ht="12.75">
      <c r="C884" s="40"/>
      <c r="E884" s="40"/>
      <c r="G884" s="40"/>
      <c r="X884" s="40"/>
    </row>
    <row r="885" spans="3:24" s="39" customFormat="1" ht="12.75">
      <c r="C885" s="40"/>
      <c r="E885" s="40"/>
      <c r="G885" s="40"/>
      <c r="X885" s="40"/>
    </row>
    <row r="886" spans="3:24" s="39" customFormat="1" ht="12.75">
      <c r="C886" s="40"/>
      <c r="E886" s="40"/>
      <c r="G886" s="40"/>
      <c r="X886" s="40"/>
    </row>
    <row r="887" spans="3:24" s="39" customFormat="1" ht="12.75">
      <c r="C887" s="40"/>
      <c r="E887" s="40"/>
      <c r="G887" s="40"/>
      <c r="X887" s="40"/>
    </row>
    <row r="888" spans="3:24" s="39" customFormat="1" ht="12.75">
      <c r="C888" s="40"/>
      <c r="E888" s="40"/>
      <c r="G888" s="40"/>
      <c r="X888" s="40"/>
    </row>
    <row r="889" spans="3:24" s="39" customFormat="1" ht="12.75">
      <c r="C889" s="40"/>
      <c r="E889" s="40"/>
      <c r="G889" s="40"/>
      <c r="X889" s="40"/>
    </row>
    <row r="890" spans="3:24" s="39" customFormat="1" ht="12.75">
      <c r="C890" s="40"/>
      <c r="E890" s="40"/>
      <c r="G890" s="40"/>
      <c r="X890" s="40"/>
    </row>
    <row r="891" spans="3:24" s="39" customFormat="1" ht="12.75">
      <c r="C891" s="40"/>
      <c r="E891" s="40"/>
      <c r="G891" s="40"/>
      <c r="X891" s="40"/>
    </row>
    <row r="892" spans="3:24" s="39" customFormat="1" ht="12.75">
      <c r="C892" s="40"/>
      <c r="E892" s="40"/>
      <c r="G892" s="40"/>
      <c r="X892" s="40"/>
    </row>
    <row r="893" spans="3:24" s="39" customFormat="1" ht="12.75">
      <c r="C893" s="40"/>
      <c r="E893" s="40"/>
      <c r="G893" s="40"/>
      <c r="X893" s="40"/>
    </row>
    <row r="894" spans="3:24" s="39" customFormat="1" ht="12.75">
      <c r="C894" s="40"/>
      <c r="E894" s="40"/>
      <c r="G894" s="40"/>
      <c r="X894" s="40"/>
    </row>
    <row r="895" spans="3:24" s="39" customFormat="1" ht="12.75">
      <c r="C895" s="40"/>
      <c r="E895" s="40"/>
      <c r="G895" s="40"/>
      <c r="X895" s="40"/>
    </row>
    <row r="896" spans="3:24" s="39" customFormat="1" ht="12.75">
      <c r="C896" s="40"/>
      <c r="E896" s="40"/>
      <c r="G896" s="40"/>
      <c r="X896" s="40"/>
    </row>
    <row r="897" spans="3:24" s="39" customFormat="1" ht="12.75">
      <c r="C897" s="40"/>
      <c r="E897" s="40"/>
      <c r="G897" s="40"/>
      <c r="X897" s="40"/>
    </row>
    <row r="898" spans="3:24" s="39" customFormat="1" ht="12.75">
      <c r="C898" s="40"/>
      <c r="E898" s="40"/>
      <c r="G898" s="40"/>
      <c r="X898" s="40"/>
    </row>
    <row r="899" spans="3:24" s="39" customFormat="1" ht="12.75">
      <c r="C899" s="40"/>
      <c r="E899" s="40"/>
      <c r="G899" s="40"/>
      <c r="X899" s="40"/>
    </row>
    <row r="900" spans="3:24" s="39" customFormat="1" ht="12.75">
      <c r="C900" s="40"/>
      <c r="E900" s="40"/>
      <c r="G900" s="40"/>
      <c r="X900" s="40"/>
    </row>
    <row r="901" spans="3:24" s="39" customFormat="1" ht="12.75">
      <c r="C901" s="40"/>
      <c r="E901" s="40"/>
      <c r="G901" s="40"/>
      <c r="X901" s="40"/>
    </row>
    <row r="902" spans="3:24" s="39" customFormat="1" ht="12.75">
      <c r="C902" s="40"/>
      <c r="E902" s="40"/>
      <c r="G902" s="40"/>
      <c r="X902" s="40"/>
    </row>
    <row r="903" spans="3:24" s="39" customFormat="1" ht="12.75">
      <c r="C903" s="40"/>
      <c r="E903" s="40"/>
      <c r="G903" s="40"/>
      <c r="X903" s="40"/>
    </row>
    <row r="904" spans="3:24" s="39" customFormat="1" ht="12.75">
      <c r="C904" s="40"/>
      <c r="E904" s="40"/>
      <c r="G904" s="40"/>
      <c r="X904" s="40"/>
    </row>
    <row r="905" spans="3:24" s="39" customFormat="1" ht="12.75">
      <c r="C905" s="40"/>
      <c r="E905" s="40"/>
      <c r="G905" s="40"/>
      <c r="X905" s="40"/>
    </row>
    <row r="906" spans="3:24" s="39" customFormat="1" ht="12.75">
      <c r="C906" s="40"/>
      <c r="E906" s="40"/>
      <c r="G906" s="40"/>
      <c r="X906" s="40"/>
    </row>
    <row r="907" spans="3:24" s="39" customFormat="1" ht="12.75">
      <c r="C907" s="40"/>
      <c r="E907" s="40"/>
      <c r="G907" s="40"/>
      <c r="X907" s="40"/>
    </row>
    <row r="908" spans="3:24" s="39" customFormat="1" ht="12.75">
      <c r="C908" s="40"/>
      <c r="E908" s="40"/>
      <c r="G908" s="40"/>
      <c r="X908" s="40"/>
    </row>
    <row r="909" spans="3:24" s="39" customFormat="1" ht="12.75">
      <c r="C909" s="40"/>
      <c r="E909" s="40"/>
      <c r="G909" s="40"/>
      <c r="X909" s="40"/>
    </row>
    <row r="910" spans="3:24" s="39" customFormat="1" ht="12.75">
      <c r="C910" s="40"/>
      <c r="E910" s="40"/>
      <c r="G910" s="40"/>
      <c r="X910" s="40"/>
    </row>
    <row r="911" spans="3:24" s="39" customFormat="1" ht="12.75">
      <c r="C911" s="40"/>
      <c r="E911" s="40"/>
      <c r="G911" s="40"/>
      <c r="X911" s="40"/>
    </row>
    <row r="912" spans="3:24" s="39" customFormat="1" ht="12.75">
      <c r="C912" s="40"/>
      <c r="E912" s="40"/>
      <c r="G912" s="40"/>
      <c r="X912" s="40"/>
    </row>
    <row r="913" spans="3:24" s="39" customFormat="1" ht="12.75">
      <c r="C913" s="40"/>
      <c r="E913" s="40"/>
      <c r="G913" s="40"/>
      <c r="X913" s="40"/>
    </row>
    <row r="914" spans="3:24" s="39" customFormat="1" ht="12.75">
      <c r="C914" s="40"/>
      <c r="E914" s="40"/>
      <c r="G914" s="40"/>
      <c r="X914" s="40"/>
    </row>
    <row r="915" spans="3:24" s="39" customFormat="1" ht="12.75">
      <c r="C915" s="40"/>
      <c r="E915" s="40"/>
      <c r="G915" s="40"/>
      <c r="X915" s="40"/>
    </row>
    <row r="916" spans="3:24" s="39" customFormat="1" ht="12.75">
      <c r="C916" s="40"/>
      <c r="E916" s="40"/>
      <c r="G916" s="40"/>
      <c r="X916" s="40"/>
    </row>
    <row r="917" spans="3:24" s="39" customFormat="1" ht="12.75">
      <c r="C917" s="40"/>
      <c r="E917" s="40"/>
      <c r="G917" s="40"/>
      <c r="X917" s="40"/>
    </row>
    <row r="918" spans="3:24" s="39" customFormat="1" ht="12.75">
      <c r="C918" s="40"/>
      <c r="E918" s="40"/>
      <c r="G918" s="40"/>
      <c r="X918" s="40"/>
    </row>
    <row r="919" spans="3:24" s="39" customFormat="1" ht="12.75">
      <c r="C919" s="40"/>
      <c r="E919" s="40"/>
      <c r="G919" s="40"/>
      <c r="X919" s="40"/>
    </row>
    <row r="920" spans="3:24" s="39" customFormat="1" ht="12.75">
      <c r="C920" s="40"/>
      <c r="E920" s="40"/>
      <c r="G920" s="40"/>
      <c r="X920" s="40"/>
    </row>
    <row r="921" spans="3:24" s="39" customFormat="1" ht="12.75">
      <c r="C921" s="40"/>
      <c r="E921" s="40"/>
      <c r="G921" s="40"/>
      <c r="X921" s="40"/>
    </row>
    <row r="922" spans="3:24" s="39" customFormat="1" ht="12.75">
      <c r="C922" s="40"/>
      <c r="E922" s="40"/>
      <c r="G922" s="40"/>
      <c r="X922" s="40"/>
    </row>
    <row r="923" spans="3:24" s="39" customFormat="1" ht="12.75">
      <c r="C923" s="40"/>
      <c r="E923" s="40"/>
      <c r="G923" s="40"/>
      <c r="X923" s="40"/>
    </row>
    <row r="924" spans="3:24" s="39" customFormat="1" ht="12.75">
      <c r="C924" s="40"/>
      <c r="E924" s="40"/>
      <c r="G924" s="40"/>
      <c r="X924" s="40"/>
    </row>
    <row r="925" spans="3:24" s="39" customFormat="1" ht="12.75">
      <c r="C925" s="40"/>
      <c r="E925" s="40"/>
      <c r="G925" s="40"/>
      <c r="X925" s="40"/>
    </row>
    <row r="926" spans="3:24" s="39" customFormat="1" ht="12.75">
      <c r="C926" s="40"/>
      <c r="E926" s="40"/>
      <c r="G926" s="40"/>
      <c r="X926" s="40"/>
    </row>
    <row r="927" spans="3:24" s="39" customFormat="1" ht="12.75">
      <c r="C927" s="40"/>
      <c r="E927" s="40"/>
      <c r="G927" s="40"/>
      <c r="X927" s="40"/>
    </row>
    <row r="928" spans="3:24" s="39" customFormat="1" ht="12.75">
      <c r="C928" s="40"/>
      <c r="E928" s="40"/>
      <c r="G928" s="40"/>
      <c r="X928" s="40"/>
    </row>
    <row r="929" spans="3:24" s="39" customFormat="1" ht="12.75">
      <c r="C929" s="40"/>
      <c r="E929" s="40"/>
      <c r="G929" s="40"/>
      <c r="X929" s="40"/>
    </row>
    <row r="930" spans="3:24" s="39" customFormat="1" ht="12.75">
      <c r="C930" s="40"/>
      <c r="E930" s="40"/>
      <c r="G930" s="40"/>
      <c r="X930" s="40"/>
    </row>
    <row r="931" spans="3:24" s="39" customFormat="1" ht="12.75">
      <c r="C931" s="40"/>
      <c r="E931" s="40"/>
      <c r="G931" s="40"/>
      <c r="X931" s="40"/>
    </row>
    <row r="932" spans="3:24" s="39" customFormat="1" ht="12.75">
      <c r="C932" s="40"/>
      <c r="E932" s="40"/>
      <c r="G932" s="40"/>
      <c r="X932" s="40"/>
    </row>
    <row r="933" spans="3:24" s="39" customFormat="1" ht="12.75">
      <c r="C933" s="40"/>
      <c r="E933" s="40"/>
      <c r="G933" s="40"/>
      <c r="X933" s="40"/>
    </row>
    <row r="934" spans="3:24" s="39" customFormat="1" ht="12.75">
      <c r="C934" s="40"/>
      <c r="E934" s="40"/>
      <c r="G934" s="40"/>
      <c r="X934" s="40"/>
    </row>
    <row r="935" spans="3:24" s="39" customFormat="1" ht="12.75">
      <c r="C935" s="40"/>
      <c r="E935" s="40"/>
      <c r="G935" s="40"/>
      <c r="X935" s="40"/>
    </row>
    <row r="936" spans="3:24" s="39" customFormat="1" ht="12.75">
      <c r="C936" s="40"/>
      <c r="E936" s="40"/>
      <c r="G936" s="40"/>
      <c r="X936" s="40"/>
    </row>
    <row r="937" spans="3:24" s="39" customFormat="1" ht="12.75">
      <c r="C937" s="40"/>
      <c r="E937" s="40"/>
      <c r="G937" s="40"/>
      <c r="X937" s="40"/>
    </row>
    <row r="938" spans="3:24" s="39" customFormat="1" ht="12.75">
      <c r="C938" s="40"/>
      <c r="E938" s="40"/>
      <c r="G938" s="40"/>
      <c r="X938" s="40"/>
    </row>
    <row r="939" spans="3:24" s="39" customFormat="1" ht="12.75">
      <c r="C939" s="40"/>
      <c r="E939" s="40"/>
      <c r="G939" s="40"/>
      <c r="X939" s="40"/>
    </row>
    <row r="940" spans="3:24" s="39" customFormat="1" ht="12.75">
      <c r="C940" s="40"/>
      <c r="E940" s="40"/>
      <c r="G940" s="40"/>
      <c r="X940" s="40"/>
    </row>
    <row r="941" spans="3:24" s="39" customFormat="1" ht="12.75">
      <c r="C941" s="40"/>
      <c r="E941" s="40"/>
      <c r="G941" s="40"/>
      <c r="X941" s="40"/>
    </row>
    <row r="942" spans="3:24" s="39" customFormat="1" ht="12.75">
      <c r="C942" s="40"/>
      <c r="E942" s="40"/>
      <c r="G942" s="40"/>
      <c r="X942" s="40"/>
    </row>
    <row r="943" spans="3:24" s="39" customFormat="1" ht="12.75">
      <c r="C943" s="40"/>
      <c r="E943" s="40"/>
      <c r="G943" s="40"/>
      <c r="X943" s="40"/>
    </row>
    <row r="944" spans="3:24" s="39" customFormat="1" ht="12.75">
      <c r="C944" s="40"/>
      <c r="E944" s="40"/>
      <c r="G944" s="40"/>
      <c r="X944" s="40"/>
    </row>
    <row r="945" spans="3:24" s="39" customFormat="1" ht="12.75">
      <c r="C945" s="40"/>
      <c r="E945" s="40"/>
      <c r="G945" s="40"/>
      <c r="X945" s="40"/>
    </row>
    <row r="946" spans="3:24" s="39" customFormat="1" ht="12.75">
      <c r="C946" s="40"/>
      <c r="E946" s="40"/>
      <c r="G946" s="40"/>
      <c r="X946" s="40"/>
    </row>
    <row r="947" spans="3:24" s="39" customFormat="1" ht="12.75">
      <c r="C947" s="40"/>
      <c r="E947" s="40"/>
      <c r="G947" s="40"/>
      <c r="X947" s="40"/>
    </row>
    <row r="948" spans="3:24" s="39" customFormat="1" ht="12.75">
      <c r="C948" s="40"/>
      <c r="E948" s="40"/>
      <c r="G948" s="40"/>
      <c r="X948" s="40"/>
    </row>
    <row r="949" spans="3:24" s="39" customFormat="1" ht="12.75">
      <c r="C949" s="40"/>
      <c r="E949" s="40"/>
      <c r="G949" s="40"/>
      <c r="X949" s="40"/>
    </row>
    <row r="950" spans="3:24" s="39" customFormat="1" ht="12.75">
      <c r="C950" s="40"/>
      <c r="E950" s="40"/>
      <c r="G950" s="40"/>
      <c r="X950" s="40"/>
    </row>
    <row r="951" spans="3:24" s="39" customFormat="1" ht="12.75">
      <c r="C951" s="40"/>
      <c r="E951" s="40"/>
      <c r="G951" s="40"/>
      <c r="X951" s="40"/>
    </row>
    <row r="952" spans="3:24" s="39" customFormat="1" ht="12.75">
      <c r="C952" s="40"/>
      <c r="E952" s="40"/>
      <c r="G952" s="40"/>
      <c r="X952" s="40"/>
    </row>
    <row r="953" spans="3:24" s="39" customFormat="1" ht="12.75">
      <c r="C953" s="40"/>
      <c r="E953" s="40"/>
      <c r="G953" s="40"/>
      <c r="X953" s="40"/>
    </row>
    <row r="954" spans="3:24" s="39" customFormat="1" ht="12.75">
      <c r="C954" s="40"/>
      <c r="E954" s="40"/>
      <c r="G954" s="40"/>
      <c r="X954" s="40"/>
    </row>
    <row r="955" spans="3:24" s="39" customFormat="1" ht="12.75">
      <c r="C955" s="40"/>
      <c r="E955" s="40"/>
      <c r="G955" s="40"/>
      <c r="X955" s="40"/>
    </row>
    <row r="956" spans="3:24" s="39" customFormat="1" ht="12.75">
      <c r="C956" s="40"/>
      <c r="E956" s="40"/>
      <c r="G956" s="40"/>
      <c r="X956" s="40"/>
    </row>
    <row r="957" spans="3:24" s="39" customFormat="1" ht="12.75">
      <c r="C957" s="40"/>
      <c r="E957" s="40"/>
      <c r="G957" s="40"/>
      <c r="X957" s="40"/>
    </row>
    <row r="958" spans="3:24" s="39" customFormat="1" ht="12.75">
      <c r="C958" s="40"/>
      <c r="E958" s="40"/>
      <c r="G958" s="40"/>
      <c r="X958" s="40"/>
    </row>
    <row r="959" spans="3:24" s="39" customFormat="1" ht="12.75">
      <c r="C959" s="40"/>
      <c r="E959" s="40"/>
      <c r="G959" s="40"/>
      <c r="X959" s="40"/>
    </row>
    <row r="960" spans="3:24" s="39" customFormat="1" ht="12.75">
      <c r="C960" s="40"/>
      <c r="E960" s="40"/>
      <c r="G960" s="40"/>
      <c r="X960" s="40"/>
    </row>
    <row r="961" spans="3:24" s="39" customFormat="1" ht="12.75">
      <c r="C961" s="40"/>
      <c r="E961" s="40"/>
      <c r="G961" s="40"/>
      <c r="X961" s="40"/>
    </row>
    <row r="962" spans="3:24" s="39" customFormat="1" ht="12.75">
      <c r="C962" s="40"/>
      <c r="E962" s="40"/>
      <c r="G962" s="40"/>
      <c r="X962" s="40"/>
    </row>
    <row r="963" spans="3:24" s="39" customFormat="1" ht="12.75">
      <c r="C963" s="40"/>
      <c r="E963" s="40"/>
      <c r="G963" s="40"/>
      <c r="X963" s="40"/>
    </row>
    <row r="964" spans="3:24" s="39" customFormat="1" ht="12.75">
      <c r="C964" s="40"/>
      <c r="E964" s="40"/>
      <c r="G964" s="40"/>
      <c r="X964" s="40"/>
    </row>
    <row r="965" spans="3:24" s="39" customFormat="1" ht="12.75">
      <c r="C965" s="40"/>
      <c r="E965" s="40"/>
      <c r="G965" s="40"/>
      <c r="X965" s="40"/>
    </row>
    <row r="966" spans="3:24" s="39" customFormat="1" ht="12.75">
      <c r="C966" s="40"/>
      <c r="E966" s="40"/>
      <c r="G966" s="40"/>
      <c r="X966" s="40"/>
    </row>
    <row r="967" spans="3:24" s="39" customFormat="1" ht="12.75">
      <c r="C967" s="40"/>
      <c r="E967" s="40"/>
      <c r="G967" s="40"/>
      <c r="X967" s="40"/>
    </row>
    <row r="968" spans="3:24" s="39" customFormat="1" ht="12.75">
      <c r="C968" s="40"/>
      <c r="E968" s="40"/>
      <c r="G968" s="40"/>
      <c r="X968" s="40"/>
    </row>
    <row r="969" spans="3:24" s="39" customFormat="1" ht="12.75">
      <c r="C969" s="40"/>
      <c r="E969" s="40"/>
      <c r="G969" s="40"/>
      <c r="X969" s="40"/>
    </row>
    <row r="970" spans="3:24" s="39" customFormat="1" ht="12.75">
      <c r="C970" s="40"/>
      <c r="E970" s="40"/>
      <c r="G970" s="40"/>
      <c r="X970" s="40"/>
    </row>
    <row r="971" spans="3:24" s="39" customFormat="1" ht="12.75">
      <c r="C971" s="40"/>
      <c r="E971" s="40"/>
      <c r="G971" s="40"/>
      <c r="X971" s="40"/>
    </row>
    <row r="972" spans="3:24" s="39" customFormat="1" ht="12.75">
      <c r="C972" s="40"/>
      <c r="E972" s="40"/>
      <c r="G972" s="40"/>
      <c r="X972" s="40"/>
    </row>
    <row r="973" spans="3:24" s="39" customFormat="1" ht="12.75">
      <c r="C973" s="40"/>
      <c r="E973" s="40"/>
      <c r="G973" s="40"/>
      <c r="X973" s="40"/>
    </row>
    <row r="974" spans="3:24" s="39" customFormat="1" ht="12.75">
      <c r="C974" s="40"/>
      <c r="E974" s="40"/>
      <c r="G974" s="40"/>
      <c r="X974" s="40"/>
    </row>
    <row r="975" spans="3:24" s="39" customFormat="1" ht="12.75">
      <c r="C975" s="40"/>
      <c r="E975" s="40"/>
      <c r="G975" s="40"/>
      <c r="X975" s="40"/>
    </row>
    <row r="976" spans="3:24" s="39" customFormat="1" ht="12.75">
      <c r="C976" s="40"/>
      <c r="E976" s="40"/>
      <c r="G976" s="40"/>
      <c r="X976" s="40"/>
    </row>
    <row r="977" spans="3:24" s="39" customFormat="1" ht="12.75">
      <c r="C977" s="40"/>
      <c r="E977" s="40"/>
      <c r="G977" s="40"/>
      <c r="X977" s="40"/>
    </row>
    <row r="978" spans="3:24" s="39" customFormat="1" ht="12.75">
      <c r="C978" s="40"/>
      <c r="E978" s="40"/>
      <c r="G978" s="40"/>
      <c r="X978" s="40"/>
    </row>
    <row r="979" spans="3:24" s="39" customFormat="1" ht="12.75">
      <c r="C979" s="40"/>
      <c r="E979" s="40"/>
      <c r="G979" s="40"/>
      <c r="X979" s="40"/>
    </row>
    <row r="980" spans="3:24" s="39" customFormat="1" ht="12.75">
      <c r="C980" s="40"/>
      <c r="E980" s="40"/>
      <c r="G980" s="40"/>
      <c r="X980" s="40"/>
    </row>
    <row r="981" spans="3:24" s="39" customFormat="1" ht="12.75">
      <c r="C981" s="40"/>
      <c r="E981" s="40"/>
      <c r="G981" s="40"/>
      <c r="X981" s="40"/>
    </row>
    <row r="982" spans="3:24" s="39" customFormat="1" ht="12.75">
      <c r="C982" s="40"/>
      <c r="E982" s="40"/>
      <c r="G982" s="40"/>
      <c r="X982" s="40"/>
    </row>
    <row r="983" spans="3:24" s="39" customFormat="1" ht="12.75">
      <c r="C983" s="40"/>
      <c r="E983" s="40"/>
      <c r="G983" s="40"/>
      <c r="X983" s="40"/>
    </row>
    <row r="984" spans="3:24" s="39" customFormat="1" ht="12.75">
      <c r="C984" s="40"/>
      <c r="E984" s="40"/>
      <c r="G984" s="40"/>
      <c r="X984" s="40"/>
    </row>
    <row r="985" spans="3:24" s="39" customFormat="1" ht="12.75">
      <c r="C985" s="40"/>
      <c r="E985" s="40"/>
      <c r="G985" s="40"/>
      <c r="X985" s="40"/>
    </row>
    <row r="986" spans="3:24" s="39" customFormat="1" ht="12.75">
      <c r="C986" s="40"/>
      <c r="E986" s="40"/>
      <c r="G986" s="40"/>
      <c r="X986" s="40"/>
    </row>
    <row r="987" spans="3:24" s="39" customFormat="1" ht="12.75">
      <c r="C987" s="40"/>
      <c r="E987" s="40"/>
      <c r="G987" s="40"/>
      <c r="X987" s="40"/>
    </row>
    <row r="988" spans="3:24" s="39" customFormat="1" ht="12.75">
      <c r="C988" s="40"/>
      <c r="E988" s="40"/>
      <c r="G988" s="40"/>
      <c r="X988" s="40"/>
    </row>
    <row r="989" spans="3:24" s="39" customFormat="1" ht="12.75">
      <c r="C989" s="40"/>
      <c r="E989" s="40"/>
      <c r="G989" s="40"/>
      <c r="X989" s="40"/>
    </row>
    <row r="990" spans="3:24" s="39" customFormat="1" ht="12.75">
      <c r="C990" s="40"/>
      <c r="E990" s="40"/>
      <c r="G990" s="40"/>
      <c r="X990" s="40"/>
    </row>
    <row r="991" spans="3:24" s="39" customFormat="1" ht="12.75">
      <c r="C991" s="40"/>
      <c r="E991" s="40"/>
      <c r="G991" s="40"/>
      <c r="X991" s="40"/>
    </row>
    <row r="992" spans="3:24" s="39" customFormat="1" ht="12.75">
      <c r="C992" s="40"/>
      <c r="E992" s="40"/>
      <c r="G992" s="40"/>
      <c r="X992" s="40"/>
    </row>
    <row r="993" spans="3:24" s="39" customFormat="1" ht="12.75">
      <c r="C993" s="40"/>
      <c r="E993" s="40"/>
      <c r="G993" s="40"/>
      <c r="X993" s="40"/>
    </row>
    <row r="994" spans="3:24" s="39" customFormat="1" ht="12.75">
      <c r="C994" s="40"/>
      <c r="E994" s="40"/>
      <c r="G994" s="40"/>
      <c r="X994" s="40"/>
    </row>
    <row r="995" spans="3:24" s="39" customFormat="1" ht="12.75">
      <c r="C995" s="40"/>
      <c r="E995" s="40"/>
      <c r="G995" s="40"/>
      <c r="X995" s="40"/>
    </row>
    <row r="996" spans="3:24" s="39" customFormat="1" ht="12.75">
      <c r="C996" s="40"/>
      <c r="E996" s="40"/>
      <c r="G996" s="40"/>
      <c r="X996" s="40"/>
    </row>
    <row r="997" spans="3:24" s="39" customFormat="1" ht="12.75">
      <c r="C997" s="40"/>
      <c r="E997" s="40"/>
      <c r="G997" s="40"/>
      <c r="X997" s="40"/>
    </row>
    <row r="998" spans="3:24" s="39" customFormat="1" ht="12.75">
      <c r="C998" s="40"/>
      <c r="E998" s="40"/>
      <c r="G998" s="40"/>
      <c r="X998" s="40"/>
    </row>
    <row r="999" spans="3:24" s="39" customFormat="1" ht="12.75">
      <c r="C999" s="40"/>
      <c r="E999" s="40"/>
      <c r="G999" s="40"/>
      <c r="X999" s="40"/>
    </row>
    <row r="1000" spans="3:24" s="39" customFormat="1" ht="12.75">
      <c r="C1000" s="40"/>
      <c r="E1000" s="40"/>
      <c r="G1000" s="40"/>
      <c r="X1000" s="40"/>
    </row>
    <row r="1001" spans="3:24" s="39" customFormat="1" ht="12.75">
      <c r="C1001" s="40"/>
      <c r="E1001" s="40"/>
      <c r="G1001" s="40"/>
      <c r="X1001" s="40"/>
    </row>
    <row r="1002" spans="3:24" s="39" customFormat="1" ht="12.75">
      <c r="C1002" s="40"/>
      <c r="E1002" s="40"/>
      <c r="G1002" s="40"/>
      <c r="X1002" s="40"/>
    </row>
    <row r="1003" spans="3:24" s="39" customFormat="1" ht="12.75">
      <c r="C1003" s="40"/>
      <c r="E1003" s="40"/>
      <c r="G1003" s="40"/>
      <c r="X1003" s="40"/>
    </row>
    <row r="1004" spans="3:24" s="39" customFormat="1" ht="12.75">
      <c r="C1004" s="40"/>
      <c r="E1004" s="40"/>
      <c r="G1004" s="40"/>
      <c r="X1004" s="40"/>
    </row>
    <row r="1005" spans="3:24" s="39" customFormat="1" ht="12.75">
      <c r="C1005" s="40"/>
      <c r="E1005" s="40"/>
      <c r="G1005" s="40"/>
      <c r="X1005" s="40"/>
    </row>
    <row r="1006" spans="3:24" s="39" customFormat="1" ht="12.75">
      <c r="C1006" s="40"/>
      <c r="E1006" s="40"/>
      <c r="G1006" s="40"/>
      <c r="X1006" s="40"/>
    </row>
    <row r="1007" spans="3:24" s="39" customFormat="1" ht="12.75">
      <c r="C1007" s="40"/>
      <c r="E1007" s="40"/>
      <c r="G1007" s="40"/>
      <c r="X1007" s="40"/>
    </row>
    <row r="1008" spans="3:24" s="39" customFormat="1" ht="12.75">
      <c r="C1008" s="40"/>
      <c r="E1008" s="40"/>
      <c r="G1008" s="40"/>
      <c r="X1008" s="40"/>
    </row>
    <row r="1009" spans="3:24" s="39" customFormat="1" ht="12.75">
      <c r="C1009" s="40"/>
      <c r="E1009" s="40"/>
      <c r="G1009" s="40"/>
      <c r="X1009" s="40"/>
    </row>
    <row r="1010" spans="3:24" s="39" customFormat="1" ht="12.75">
      <c r="C1010" s="40"/>
      <c r="E1010" s="40"/>
      <c r="G1010" s="40"/>
      <c r="X1010" s="40"/>
    </row>
    <row r="1011" spans="3:24" s="39" customFormat="1" ht="12.75">
      <c r="C1011" s="40"/>
      <c r="E1011" s="40"/>
      <c r="G1011" s="40"/>
      <c r="X1011" s="40"/>
    </row>
    <row r="1012" spans="3:24" s="39" customFormat="1" ht="12.75">
      <c r="C1012" s="40"/>
      <c r="E1012" s="40"/>
      <c r="G1012" s="40"/>
      <c r="X1012" s="40"/>
    </row>
    <row r="1013" spans="3:24" s="39" customFormat="1" ht="12.75">
      <c r="C1013" s="40"/>
      <c r="E1013" s="40"/>
      <c r="G1013" s="40"/>
      <c r="X1013" s="40"/>
    </row>
    <row r="1014" spans="3:24" s="39" customFormat="1" ht="12.75">
      <c r="C1014" s="40"/>
      <c r="E1014" s="40"/>
      <c r="G1014" s="40"/>
      <c r="X1014" s="40"/>
    </row>
    <row r="1015" spans="3:24" s="39" customFormat="1" ht="12.75">
      <c r="C1015" s="40"/>
      <c r="E1015" s="40"/>
      <c r="G1015" s="40"/>
      <c r="X1015" s="40"/>
    </row>
    <row r="1016" spans="3:24" s="39" customFormat="1" ht="12.75">
      <c r="C1016" s="40"/>
      <c r="E1016" s="40"/>
      <c r="G1016" s="40"/>
      <c r="X1016" s="40"/>
    </row>
    <row r="1017" spans="3:24" s="39" customFormat="1" ht="12.75">
      <c r="C1017" s="40"/>
      <c r="E1017" s="40"/>
      <c r="G1017" s="40"/>
      <c r="X1017" s="40"/>
    </row>
    <row r="1018" spans="3:24" s="39" customFormat="1" ht="12.75">
      <c r="C1018" s="40"/>
      <c r="E1018" s="40"/>
      <c r="G1018" s="40"/>
      <c r="X1018" s="40"/>
    </row>
    <row r="1019" spans="3:24" s="39" customFormat="1" ht="12.75">
      <c r="C1019" s="40"/>
      <c r="E1019" s="40"/>
      <c r="G1019" s="40"/>
      <c r="X1019" s="40"/>
    </row>
    <row r="1020" spans="3:24" s="39" customFormat="1" ht="12.75">
      <c r="C1020" s="40"/>
      <c r="E1020" s="40"/>
      <c r="G1020" s="40"/>
      <c r="X1020" s="40"/>
    </row>
    <row r="1021" spans="3:24" s="39" customFormat="1" ht="12.75">
      <c r="C1021" s="40"/>
      <c r="E1021" s="40"/>
      <c r="G1021" s="40"/>
      <c r="X1021" s="40"/>
    </row>
    <row r="1022" spans="3:24" s="39" customFormat="1" ht="12.75">
      <c r="C1022" s="40"/>
      <c r="E1022" s="40"/>
      <c r="G1022" s="40"/>
      <c r="X1022" s="40"/>
    </row>
    <row r="1023" spans="3:24" s="39" customFormat="1" ht="12.75">
      <c r="C1023" s="40"/>
      <c r="E1023" s="40"/>
      <c r="G1023" s="40"/>
      <c r="X1023" s="40"/>
    </row>
    <row r="1024" spans="3:24" s="39" customFormat="1" ht="12.75">
      <c r="C1024" s="40"/>
      <c r="E1024" s="40"/>
      <c r="G1024" s="40"/>
      <c r="X1024" s="40"/>
    </row>
    <row r="1025" spans="3:24" s="39" customFormat="1" ht="12.75">
      <c r="C1025" s="40"/>
      <c r="E1025" s="40"/>
      <c r="G1025" s="40"/>
      <c r="X1025" s="40"/>
    </row>
    <row r="1026" spans="3:24" s="39" customFormat="1" ht="12.75">
      <c r="C1026" s="40"/>
      <c r="E1026" s="40"/>
      <c r="G1026" s="40"/>
      <c r="X1026" s="40"/>
    </row>
    <row r="1027" spans="3:24" s="39" customFormat="1" ht="12.75">
      <c r="C1027" s="40"/>
      <c r="E1027" s="40"/>
      <c r="G1027" s="40"/>
      <c r="X1027" s="40"/>
    </row>
    <row r="1028" spans="3:24" s="39" customFormat="1" ht="12.75">
      <c r="C1028" s="40"/>
      <c r="E1028" s="40"/>
      <c r="G1028" s="40"/>
      <c r="X1028" s="40"/>
    </row>
    <row r="1029" spans="3:24" s="39" customFormat="1" ht="12.75">
      <c r="C1029" s="40"/>
      <c r="E1029" s="40"/>
      <c r="G1029" s="40"/>
      <c r="X1029" s="40"/>
    </row>
    <row r="1030" spans="3:24" s="39" customFormat="1" ht="12.75">
      <c r="C1030" s="40"/>
      <c r="E1030" s="40"/>
      <c r="G1030" s="40"/>
      <c r="X1030" s="40"/>
    </row>
    <row r="1031" spans="3:24" s="39" customFormat="1" ht="12.75">
      <c r="C1031" s="40"/>
      <c r="E1031" s="40"/>
      <c r="G1031" s="40"/>
      <c r="X1031" s="40"/>
    </row>
    <row r="1032" spans="3:24" s="39" customFormat="1" ht="12.75">
      <c r="C1032" s="40"/>
      <c r="E1032" s="40"/>
      <c r="G1032" s="40"/>
      <c r="X1032" s="40"/>
    </row>
    <row r="1033" spans="3:24" s="39" customFormat="1" ht="12.75">
      <c r="C1033" s="40"/>
      <c r="E1033" s="40"/>
      <c r="G1033" s="40"/>
      <c r="X1033" s="40"/>
    </row>
    <row r="1034" spans="3:24" s="39" customFormat="1" ht="12.75">
      <c r="C1034" s="40"/>
      <c r="E1034" s="40"/>
      <c r="G1034" s="40"/>
      <c r="X1034" s="40"/>
    </row>
    <row r="1035" spans="3:24" s="39" customFormat="1" ht="12.75">
      <c r="C1035" s="40"/>
      <c r="E1035" s="40"/>
      <c r="G1035" s="40"/>
      <c r="X1035" s="40"/>
    </row>
    <row r="1036" spans="3:24" s="39" customFormat="1" ht="12.75">
      <c r="C1036" s="40"/>
      <c r="E1036" s="40"/>
      <c r="G1036" s="40"/>
      <c r="X1036" s="40"/>
    </row>
    <row r="1037" spans="3:24" s="39" customFormat="1" ht="12.75">
      <c r="C1037" s="40"/>
      <c r="E1037" s="40"/>
      <c r="G1037" s="40"/>
      <c r="X1037" s="40"/>
    </row>
    <row r="1038" spans="3:24" s="39" customFormat="1" ht="12.75">
      <c r="C1038" s="40"/>
      <c r="E1038" s="40"/>
      <c r="G1038" s="40"/>
      <c r="X1038" s="40"/>
    </row>
    <row r="1039" spans="3:24" s="39" customFormat="1" ht="12.75">
      <c r="C1039" s="40"/>
      <c r="E1039" s="40"/>
      <c r="G1039" s="40"/>
      <c r="X1039" s="40"/>
    </row>
    <row r="1040" spans="3:24" s="39" customFormat="1" ht="12.75">
      <c r="C1040" s="40"/>
      <c r="E1040" s="40"/>
      <c r="G1040" s="40"/>
      <c r="X1040" s="40"/>
    </row>
    <row r="1041" spans="3:24" s="39" customFormat="1" ht="12.75">
      <c r="C1041" s="40"/>
      <c r="E1041" s="40"/>
      <c r="G1041" s="40"/>
      <c r="X1041" s="40"/>
    </row>
    <row r="1042" spans="3:24" s="39" customFormat="1" ht="12.75">
      <c r="C1042" s="40"/>
      <c r="E1042" s="40"/>
      <c r="G1042" s="40"/>
      <c r="X1042" s="40"/>
    </row>
    <row r="1043" spans="3:24" s="39" customFormat="1" ht="12.75">
      <c r="C1043" s="40"/>
      <c r="E1043" s="40"/>
      <c r="G1043" s="40"/>
      <c r="X1043" s="40"/>
    </row>
    <row r="1044" spans="3:24" s="39" customFormat="1" ht="12.75">
      <c r="C1044" s="40"/>
      <c r="E1044" s="40"/>
      <c r="G1044" s="40"/>
      <c r="X1044" s="40"/>
    </row>
    <row r="1045" spans="3:24" s="39" customFormat="1" ht="12.75">
      <c r="C1045" s="40"/>
      <c r="E1045" s="40"/>
      <c r="G1045" s="40"/>
      <c r="X1045" s="40"/>
    </row>
    <row r="1046" spans="3:24" s="39" customFormat="1" ht="12.75">
      <c r="C1046" s="40"/>
      <c r="E1046" s="40"/>
      <c r="G1046" s="40"/>
      <c r="X1046" s="40"/>
    </row>
    <row r="1047" spans="3:24" s="39" customFormat="1" ht="12.75">
      <c r="C1047" s="40"/>
      <c r="E1047" s="40"/>
      <c r="G1047" s="40"/>
      <c r="X1047" s="40"/>
    </row>
    <row r="1048" spans="3:24" s="39" customFormat="1" ht="12.75">
      <c r="C1048" s="40"/>
      <c r="E1048" s="40"/>
      <c r="G1048" s="40"/>
      <c r="X1048" s="40"/>
    </row>
    <row r="1049" spans="3:24" s="39" customFormat="1" ht="12.75">
      <c r="C1049" s="40"/>
      <c r="E1049" s="40"/>
      <c r="G1049" s="40"/>
      <c r="X1049" s="40"/>
    </row>
    <row r="1050" spans="3:24" s="39" customFormat="1" ht="12.75">
      <c r="C1050" s="40"/>
      <c r="E1050" s="40"/>
      <c r="G1050" s="40"/>
      <c r="X1050" s="40"/>
    </row>
    <row r="1051" spans="3:24" s="39" customFormat="1" ht="12.75">
      <c r="C1051" s="40"/>
      <c r="E1051" s="40"/>
      <c r="G1051" s="40"/>
      <c r="X1051" s="40"/>
    </row>
    <row r="1052" spans="3:24" s="39" customFormat="1" ht="12.75">
      <c r="C1052" s="40"/>
      <c r="E1052" s="40"/>
      <c r="G1052" s="40"/>
      <c r="X1052" s="40"/>
    </row>
    <row r="1053" spans="3:24" s="39" customFormat="1" ht="12.75">
      <c r="C1053" s="40"/>
      <c r="E1053" s="40"/>
      <c r="G1053" s="40"/>
      <c r="X1053" s="40"/>
    </row>
    <row r="1054" spans="3:24" s="39" customFormat="1" ht="12.75">
      <c r="C1054" s="40"/>
      <c r="E1054" s="40"/>
      <c r="G1054" s="40"/>
      <c r="X1054" s="40"/>
    </row>
    <row r="1055" spans="3:24" s="39" customFormat="1" ht="12.75">
      <c r="C1055" s="40"/>
      <c r="E1055" s="40"/>
      <c r="G1055" s="40"/>
      <c r="X1055" s="40"/>
    </row>
    <row r="1056" spans="3:24" s="39" customFormat="1" ht="12.75">
      <c r="C1056" s="40"/>
      <c r="E1056" s="40"/>
      <c r="G1056" s="40"/>
      <c r="X1056" s="40"/>
    </row>
    <row r="1057" spans="3:24" s="39" customFormat="1" ht="12.75">
      <c r="C1057" s="40"/>
      <c r="E1057" s="40"/>
      <c r="G1057" s="40"/>
      <c r="X1057" s="40"/>
    </row>
    <row r="1058" spans="3:24" s="39" customFormat="1" ht="12.75">
      <c r="C1058" s="40"/>
      <c r="E1058" s="40"/>
      <c r="G1058" s="40"/>
      <c r="X1058" s="40"/>
    </row>
    <row r="1059" spans="3:24" s="39" customFormat="1" ht="12.75">
      <c r="C1059" s="40"/>
      <c r="E1059" s="40"/>
      <c r="G1059" s="40"/>
      <c r="X1059" s="40"/>
    </row>
    <row r="1060" spans="3:24" s="39" customFormat="1" ht="12.75">
      <c r="C1060" s="40"/>
      <c r="E1060" s="40"/>
      <c r="G1060" s="40"/>
      <c r="X1060" s="40"/>
    </row>
    <row r="1061" spans="3:24" s="39" customFormat="1" ht="12.75">
      <c r="C1061" s="40"/>
      <c r="E1061" s="40"/>
      <c r="G1061" s="40"/>
      <c r="X1061" s="40"/>
    </row>
    <row r="1062" spans="3:24" s="39" customFormat="1" ht="12.75">
      <c r="C1062" s="40"/>
      <c r="E1062" s="40"/>
      <c r="G1062" s="40"/>
      <c r="X1062" s="40"/>
    </row>
    <row r="1063" spans="3:24" s="39" customFormat="1" ht="12.75">
      <c r="C1063" s="40"/>
      <c r="E1063" s="40"/>
      <c r="G1063" s="40"/>
      <c r="X1063" s="40"/>
    </row>
    <row r="1064" spans="3:24" s="39" customFormat="1" ht="12.75">
      <c r="C1064" s="40"/>
      <c r="E1064" s="40"/>
      <c r="G1064" s="40"/>
      <c r="X1064" s="40"/>
    </row>
    <row r="1065" spans="3:24" s="39" customFormat="1" ht="12.75">
      <c r="C1065" s="40"/>
      <c r="E1065" s="40"/>
      <c r="G1065" s="40"/>
      <c r="X1065" s="40"/>
    </row>
    <row r="1066" spans="3:24" s="39" customFormat="1" ht="12.75">
      <c r="C1066" s="40"/>
      <c r="E1066" s="40"/>
      <c r="G1066" s="40"/>
      <c r="X1066" s="40"/>
    </row>
    <row r="1067" spans="3:24" s="39" customFormat="1" ht="12.75">
      <c r="C1067" s="40"/>
      <c r="E1067" s="40"/>
      <c r="G1067" s="40"/>
      <c r="X1067" s="40"/>
    </row>
    <row r="1068" spans="3:24" s="39" customFormat="1" ht="12.75">
      <c r="C1068" s="40"/>
      <c r="E1068" s="40"/>
      <c r="G1068" s="40"/>
      <c r="X1068" s="40"/>
    </row>
    <row r="1069" spans="3:24" s="39" customFormat="1" ht="12.75">
      <c r="C1069" s="40"/>
      <c r="E1069" s="40"/>
      <c r="G1069" s="40"/>
      <c r="X1069" s="40"/>
    </row>
    <row r="1070" spans="3:24" s="39" customFormat="1" ht="12.75">
      <c r="C1070" s="40"/>
      <c r="E1070" s="40"/>
      <c r="G1070" s="40"/>
      <c r="X1070" s="40"/>
    </row>
    <row r="1071" spans="3:24" s="39" customFormat="1" ht="12.75">
      <c r="C1071" s="40"/>
      <c r="E1071" s="40"/>
      <c r="G1071" s="40"/>
      <c r="X1071" s="40"/>
    </row>
    <row r="1072" spans="3:24" s="39" customFormat="1" ht="12.75">
      <c r="C1072" s="40"/>
      <c r="E1072" s="40"/>
      <c r="G1072" s="40"/>
      <c r="X1072" s="40"/>
    </row>
    <row r="1073" spans="3:24" s="39" customFormat="1" ht="12.75">
      <c r="C1073" s="40"/>
      <c r="E1073" s="40"/>
      <c r="G1073" s="40"/>
      <c r="X1073" s="40"/>
    </row>
    <row r="1074" spans="3:24" s="39" customFormat="1" ht="12.75">
      <c r="C1074" s="40"/>
      <c r="E1074" s="40"/>
      <c r="G1074" s="40"/>
      <c r="X1074" s="40"/>
    </row>
    <row r="1075" spans="3:24" s="39" customFormat="1" ht="12.75">
      <c r="C1075" s="40"/>
      <c r="E1075" s="40"/>
      <c r="G1075" s="40"/>
      <c r="X1075" s="40"/>
    </row>
    <row r="1076" spans="3:24" s="39" customFormat="1" ht="12.75">
      <c r="C1076" s="40"/>
      <c r="E1076" s="40"/>
      <c r="G1076" s="40"/>
      <c r="X1076" s="40"/>
    </row>
    <row r="1077" spans="3:24" s="39" customFormat="1" ht="12.75">
      <c r="C1077" s="40"/>
      <c r="E1077" s="40"/>
      <c r="G1077" s="40"/>
      <c r="X1077" s="40"/>
    </row>
    <row r="1078" spans="3:24" s="39" customFormat="1" ht="12.75">
      <c r="C1078" s="40"/>
      <c r="E1078" s="40"/>
      <c r="G1078" s="40"/>
      <c r="X1078" s="40"/>
    </row>
    <row r="1079" spans="3:24" s="39" customFormat="1" ht="12.75">
      <c r="C1079" s="40"/>
      <c r="E1079" s="40"/>
      <c r="G1079" s="40"/>
      <c r="X1079" s="40"/>
    </row>
    <row r="1080" spans="3:24" s="39" customFormat="1" ht="12.75">
      <c r="C1080" s="40"/>
      <c r="E1080" s="40"/>
      <c r="G1080" s="40"/>
      <c r="X1080" s="40"/>
    </row>
    <row r="1081" spans="3:24" s="39" customFormat="1" ht="12.75">
      <c r="C1081" s="40"/>
      <c r="E1081" s="40"/>
      <c r="G1081" s="40"/>
      <c r="X1081" s="40"/>
    </row>
    <row r="1082" spans="3:24" s="39" customFormat="1" ht="12.75">
      <c r="C1082" s="40"/>
      <c r="E1082" s="40"/>
      <c r="G1082" s="40"/>
      <c r="X1082" s="40"/>
    </row>
    <row r="1083" spans="3:24" s="39" customFormat="1" ht="12.75">
      <c r="C1083" s="40"/>
      <c r="E1083" s="40"/>
      <c r="G1083" s="40"/>
      <c r="X1083" s="40"/>
    </row>
    <row r="1084" spans="3:24" s="39" customFormat="1" ht="12.75">
      <c r="C1084" s="40"/>
      <c r="E1084" s="40"/>
      <c r="G1084" s="40"/>
      <c r="X1084" s="40"/>
    </row>
    <row r="1085" spans="3:24" s="39" customFormat="1" ht="12.75">
      <c r="C1085" s="40"/>
      <c r="E1085" s="40"/>
      <c r="G1085" s="40"/>
      <c r="X1085" s="40"/>
    </row>
    <row r="1086" spans="3:24" s="39" customFormat="1" ht="12.75">
      <c r="C1086" s="40"/>
      <c r="E1086" s="40"/>
      <c r="G1086" s="40"/>
      <c r="X1086" s="40"/>
    </row>
    <row r="1087" spans="3:24" s="39" customFormat="1" ht="12.75">
      <c r="C1087" s="40"/>
      <c r="E1087" s="40"/>
      <c r="G1087" s="40"/>
      <c r="X1087" s="40"/>
    </row>
    <row r="1088" spans="3:24" s="39" customFormat="1" ht="12.75">
      <c r="C1088" s="40"/>
      <c r="E1088" s="40"/>
      <c r="G1088" s="40"/>
      <c r="X1088" s="40"/>
    </row>
    <row r="1089" spans="3:24" s="39" customFormat="1" ht="12.75">
      <c r="C1089" s="40"/>
      <c r="E1089" s="40"/>
      <c r="G1089" s="40"/>
      <c r="X1089" s="40"/>
    </row>
    <row r="1090" spans="3:24" s="39" customFormat="1" ht="12.75">
      <c r="C1090" s="40"/>
      <c r="E1090" s="40"/>
      <c r="G1090" s="40"/>
      <c r="X1090" s="40"/>
    </row>
    <row r="1091" spans="3:24" s="39" customFormat="1" ht="12.75">
      <c r="C1091" s="40"/>
      <c r="E1091" s="40"/>
      <c r="G1091" s="40"/>
      <c r="X1091" s="40"/>
    </row>
    <row r="1092" spans="3:24" s="39" customFormat="1" ht="12.75">
      <c r="C1092" s="40"/>
      <c r="E1092" s="40"/>
      <c r="G1092" s="40"/>
      <c r="X1092" s="40"/>
    </row>
    <row r="1093" spans="3:24" s="39" customFormat="1" ht="12.75">
      <c r="C1093" s="40"/>
      <c r="E1093" s="40"/>
      <c r="G1093" s="40"/>
      <c r="X1093" s="40"/>
    </row>
    <row r="1094" spans="3:24" s="39" customFormat="1" ht="12.75">
      <c r="C1094" s="40"/>
      <c r="E1094" s="40"/>
      <c r="G1094" s="40"/>
      <c r="X1094" s="40"/>
    </row>
    <row r="1095" spans="3:24" s="39" customFormat="1" ht="12.75">
      <c r="C1095" s="40"/>
      <c r="E1095" s="40"/>
      <c r="G1095" s="40"/>
      <c r="X1095" s="40"/>
    </row>
    <row r="1096" spans="3:24" s="39" customFormat="1" ht="12.75">
      <c r="C1096" s="40"/>
      <c r="E1096" s="40"/>
      <c r="G1096" s="40"/>
      <c r="X1096" s="40"/>
    </row>
    <row r="1097" spans="3:24" s="39" customFormat="1" ht="12.75">
      <c r="C1097" s="40"/>
      <c r="E1097" s="40"/>
      <c r="G1097" s="40"/>
      <c r="X1097" s="40"/>
    </row>
    <row r="1098" spans="3:24" s="39" customFormat="1" ht="12.75">
      <c r="C1098" s="40"/>
      <c r="E1098" s="40"/>
      <c r="G1098" s="40"/>
      <c r="X1098" s="40"/>
    </row>
    <row r="1099" spans="3:24" s="39" customFormat="1" ht="12.75">
      <c r="C1099" s="40"/>
      <c r="E1099" s="40"/>
      <c r="G1099" s="40"/>
      <c r="X1099" s="40"/>
    </row>
    <row r="1100" spans="3:24" s="39" customFormat="1" ht="12.75">
      <c r="C1100" s="40"/>
      <c r="E1100" s="40"/>
      <c r="G1100" s="40"/>
      <c r="X1100" s="40"/>
    </row>
    <row r="1101" spans="3:24" s="39" customFormat="1" ht="12.75">
      <c r="C1101" s="40"/>
      <c r="E1101" s="40"/>
      <c r="G1101" s="40"/>
      <c r="X1101" s="40"/>
    </row>
    <row r="1102" spans="3:24" s="39" customFormat="1" ht="12.75">
      <c r="C1102" s="40"/>
      <c r="E1102" s="40"/>
      <c r="G1102" s="40"/>
      <c r="X1102" s="40"/>
    </row>
    <row r="1103" spans="3:24" s="39" customFormat="1" ht="12.75">
      <c r="C1103" s="40"/>
      <c r="E1103" s="40"/>
      <c r="G1103" s="40"/>
      <c r="X1103" s="40"/>
    </row>
    <row r="1104" spans="3:24" s="39" customFormat="1" ht="12.75">
      <c r="C1104" s="40"/>
      <c r="E1104" s="40"/>
      <c r="G1104" s="40"/>
      <c r="X1104" s="40"/>
    </row>
    <row r="1105" spans="3:24" s="39" customFormat="1" ht="12.75">
      <c r="C1105" s="40"/>
      <c r="E1105" s="40"/>
      <c r="G1105" s="40"/>
      <c r="X1105" s="40"/>
    </row>
    <row r="1106" spans="3:24" s="39" customFormat="1" ht="12.75">
      <c r="C1106" s="40"/>
      <c r="E1106" s="40"/>
      <c r="G1106" s="40"/>
      <c r="X1106" s="40"/>
    </row>
    <row r="1107" spans="3:24" s="39" customFormat="1" ht="12.75">
      <c r="C1107" s="40"/>
      <c r="E1107" s="40"/>
      <c r="G1107" s="40"/>
      <c r="X1107" s="40"/>
    </row>
    <row r="1108" spans="3:24" s="39" customFormat="1" ht="12.75">
      <c r="C1108" s="40"/>
      <c r="E1108" s="40"/>
      <c r="G1108" s="40"/>
      <c r="X1108" s="40"/>
    </row>
    <row r="1109" spans="3:24" s="39" customFormat="1" ht="12.75">
      <c r="C1109" s="40"/>
      <c r="E1109" s="40"/>
      <c r="G1109" s="40"/>
      <c r="X1109" s="40"/>
    </row>
    <row r="1110" spans="3:24" s="39" customFormat="1" ht="12.75">
      <c r="C1110" s="40"/>
      <c r="E1110" s="40"/>
      <c r="G1110" s="40"/>
      <c r="X1110" s="40"/>
    </row>
    <row r="1111" spans="3:24" s="39" customFormat="1" ht="12.75">
      <c r="C1111" s="40"/>
      <c r="E1111" s="40"/>
      <c r="G1111" s="40"/>
      <c r="X1111" s="40"/>
    </row>
    <row r="1112" spans="3:24" s="39" customFormat="1" ht="12.75">
      <c r="C1112" s="40"/>
      <c r="E1112" s="40"/>
      <c r="G1112" s="40"/>
      <c r="X1112" s="40"/>
    </row>
    <row r="1113" spans="3:24" s="39" customFormat="1" ht="12.75">
      <c r="C1113" s="40"/>
      <c r="E1113" s="40"/>
      <c r="G1113" s="40"/>
      <c r="X1113" s="40"/>
    </row>
    <row r="1114" spans="3:24" s="39" customFormat="1" ht="12.75">
      <c r="C1114" s="40"/>
      <c r="E1114" s="40"/>
      <c r="G1114" s="40"/>
      <c r="X1114" s="40"/>
    </row>
    <row r="1115" spans="3:24" s="39" customFormat="1" ht="12.75">
      <c r="C1115" s="40"/>
      <c r="E1115" s="40"/>
      <c r="G1115" s="40"/>
      <c r="X1115" s="40"/>
    </row>
    <row r="1116" spans="3:24" s="39" customFormat="1" ht="12.75">
      <c r="C1116" s="40"/>
      <c r="E1116" s="40"/>
      <c r="G1116" s="40"/>
      <c r="X1116" s="40"/>
    </row>
    <row r="1117" spans="3:24" s="39" customFormat="1" ht="12.75">
      <c r="C1117" s="40"/>
      <c r="E1117" s="40"/>
      <c r="G1117" s="40"/>
      <c r="X1117" s="40"/>
    </row>
    <row r="1118" spans="3:24" s="39" customFormat="1" ht="12.75">
      <c r="C1118" s="40"/>
      <c r="E1118" s="40"/>
      <c r="G1118" s="40"/>
      <c r="X1118" s="40"/>
    </row>
    <row r="1119" spans="3:24" s="39" customFormat="1" ht="12.75">
      <c r="C1119" s="40"/>
      <c r="E1119" s="40"/>
      <c r="G1119" s="40"/>
      <c r="X1119" s="40"/>
    </row>
    <row r="1120" spans="3:24" s="39" customFormat="1" ht="12.75">
      <c r="C1120" s="40"/>
      <c r="E1120" s="40"/>
      <c r="G1120" s="40"/>
      <c r="X1120" s="40"/>
    </row>
    <row r="1121" spans="3:24" s="39" customFormat="1" ht="12.75">
      <c r="C1121" s="40"/>
      <c r="E1121" s="40"/>
      <c r="G1121" s="40"/>
      <c r="X1121" s="40"/>
    </row>
    <row r="1122" spans="3:24" s="39" customFormat="1" ht="12.75">
      <c r="C1122" s="40"/>
      <c r="E1122" s="40"/>
      <c r="G1122" s="40"/>
      <c r="X1122" s="40"/>
    </row>
    <row r="1123" spans="3:24" s="39" customFormat="1" ht="12.75">
      <c r="C1123" s="40"/>
      <c r="E1123" s="40"/>
      <c r="G1123" s="40"/>
      <c r="X1123" s="40"/>
    </row>
    <row r="1124" spans="3:24" s="39" customFormat="1" ht="12.75">
      <c r="C1124" s="40"/>
      <c r="E1124" s="40"/>
      <c r="G1124" s="40"/>
      <c r="X1124" s="40"/>
    </row>
    <row r="1125" spans="3:24" s="39" customFormat="1" ht="12.75">
      <c r="C1125" s="40"/>
      <c r="E1125" s="40"/>
      <c r="G1125" s="40"/>
      <c r="X1125" s="40"/>
    </row>
    <row r="1126" spans="3:24" s="39" customFormat="1" ht="12.75">
      <c r="C1126" s="40"/>
      <c r="E1126" s="40"/>
      <c r="G1126" s="40"/>
      <c r="X1126" s="40"/>
    </row>
    <row r="1127" spans="3:24" s="39" customFormat="1" ht="12.75">
      <c r="C1127" s="40"/>
      <c r="E1127" s="40"/>
      <c r="G1127" s="40"/>
      <c r="X1127" s="40"/>
    </row>
    <row r="1128" spans="3:24" s="39" customFormat="1" ht="12.75">
      <c r="C1128" s="40"/>
      <c r="E1128" s="40"/>
      <c r="G1128" s="40"/>
      <c r="X1128" s="40"/>
    </row>
    <row r="1129" spans="3:24" s="39" customFormat="1" ht="12.75">
      <c r="C1129" s="40"/>
      <c r="E1129" s="40"/>
      <c r="G1129" s="40"/>
      <c r="X1129" s="40"/>
    </row>
    <row r="1130" spans="3:24" s="39" customFormat="1" ht="12.75">
      <c r="C1130" s="40"/>
      <c r="E1130" s="40"/>
      <c r="G1130" s="40"/>
      <c r="X1130" s="40"/>
    </row>
    <row r="1131" spans="3:24" s="39" customFormat="1" ht="12.75">
      <c r="C1131" s="40"/>
      <c r="E1131" s="40"/>
      <c r="G1131" s="40"/>
      <c r="X1131" s="40"/>
    </row>
    <row r="1132" spans="3:24" s="39" customFormat="1" ht="12.75">
      <c r="C1132" s="40"/>
      <c r="E1132" s="40"/>
      <c r="G1132" s="40"/>
      <c r="X1132" s="40"/>
    </row>
    <row r="1133" spans="3:24" s="39" customFormat="1" ht="12.75">
      <c r="C1133" s="40"/>
      <c r="E1133" s="40"/>
      <c r="G1133" s="40"/>
      <c r="X1133" s="40"/>
    </row>
    <row r="1134" spans="3:24" s="39" customFormat="1" ht="12.75">
      <c r="C1134" s="40"/>
      <c r="E1134" s="40"/>
      <c r="G1134" s="40"/>
      <c r="X1134" s="40"/>
    </row>
    <row r="1135" spans="3:24" s="39" customFormat="1" ht="12.75">
      <c r="C1135" s="40"/>
      <c r="E1135" s="40"/>
      <c r="G1135" s="40"/>
      <c r="X1135" s="40"/>
    </row>
    <row r="1136" spans="3:24" s="39" customFormat="1" ht="12.75">
      <c r="C1136" s="40"/>
      <c r="E1136" s="40"/>
      <c r="G1136" s="40"/>
      <c r="X1136" s="40"/>
    </row>
    <row r="1137" spans="3:24" s="39" customFormat="1" ht="12.75">
      <c r="C1137" s="40"/>
      <c r="E1137" s="40"/>
      <c r="G1137" s="40"/>
      <c r="X1137" s="40"/>
    </row>
    <row r="1138" spans="3:24" s="39" customFormat="1" ht="12.75">
      <c r="C1138" s="40"/>
      <c r="E1138" s="40"/>
      <c r="G1138" s="40"/>
      <c r="X1138" s="40"/>
    </row>
    <row r="1139" spans="3:24" s="39" customFormat="1" ht="12.75">
      <c r="C1139" s="40"/>
      <c r="E1139" s="40"/>
      <c r="G1139" s="40"/>
      <c r="X1139" s="40"/>
    </row>
    <row r="1140" spans="3:24" s="39" customFormat="1" ht="12.75">
      <c r="C1140" s="40"/>
      <c r="E1140" s="40"/>
      <c r="G1140" s="40"/>
      <c r="X1140" s="40"/>
    </row>
    <row r="1141" spans="3:24" s="39" customFormat="1" ht="12.75">
      <c r="C1141" s="40"/>
      <c r="E1141" s="40"/>
      <c r="G1141" s="40"/>
      <c r="X1141" s="40"/>
    </row>
    <row r="1142" spans="3:24" s="39" customFormat="1" ht="12.75">
      <c r="C1142" s="40"/>
      <c r="E1142" s="40"/>
      <c r="G1142" s="40"/>
      <c r="X1142" s="40"/>
    </row>
    <row r="1143" spans="3:24" s="39" customFormat="1" ht="12.75">
      <c r="C1143" s="40"/>
      <c r="E1143" s="40"/>
      <c r="G1143" s="40"/>
      <c r="X1143" s="40"/>
    </row>
    <row r="1144" spans="3:24" s="39" customFormat="1" ht="12.75">
      <c r="C1144" s="40"/>
      <c r="E1144" s="40"/>
      <c r="G1144" s="40"/>
      <c r="X1144" s="40"/>
    </row>
    <row r="1145" spans="3:24" s="39" customFormat="1" ht="12.75">
      <c r="C1145" s="40"/>
      <c r="E1145" s="40"/>
      <c r="G1145" s="40"/>
      <c r="X1145" s="40"/>
    </row>
    <row r="1146" spans="3:24" s="39" customFormat="1" ht="12.75">
      <c r="C1146" s="40"/>
      <c r="E1146" s="40"/>
      <c r="G1146" s="40"/>
      <c r="X1146" s="40"/>
    </row>
    <row r="1147" spans="3:24" s="39" customFormat="1" ht="12.75">
      <c r="C1147" s="40"/>
      <c r="E1147" s="40"/>
      <c r="G1147" s="40"/>
      <c r="X1147" s="40"/>
    </row>
    <row r="1148" spans="3:24" s="39" customFormat="1" ht="12.75">
      <c r="C1148" s="40"/>
      <c r="E1148" s="40"/>
      <c r="G1148" s="40"/>
      <c r="X1148" s="40"/>
    </row>
    <row r="1149" spans="3:24" s="39" customFormat="1" ht="12.75">
      <c r="C1149" s="40"/>
      <c r="E1149" s="40"/>
      <c r="G1149" s="40"/>
      <c r="X1149" s="40"/>
    </row>
    <row r="1150" spans="3:24" s="39" customFormat="1" ht="12.75">
      <c r="C1150" s="40"/>
      <c r="E1150" s="40"/>
      <c r="G1150" s="40"/>
      <c r="X1150" s="40"/>
    </row>
    <row r="1151" spans="3:24" s="39" customFormat="1" ht="12.75">
      <c r="C1151" s="40"/>
      <c r="E1151" s="40"/>
      <c r="G1151" s="40"/>
      <c r="X1151" s="40"/>
    </row>
    <row r="1152" spans="3:24" s="39" customFormat="1" ht="12.75">
      <c r="C1152" s="40"/>
      <c r="E1152" s="40"/>
      <c r="G1152" s="40"/>
      <c r="X1152" s="40"/>
    </row>
    <row r="1153" spans="3:24" s="39" customFormat="1" ht="12.75">
      <c r="C1153" s="40"/>
      <c r="E1153" s="40"/>
      <c r="G1153" s="40"/>
      <c r="X1153" s="40"/>
    </row>
    <row r="1154" spans="3:24" s="39" customFormat="1" ht="12.75">
      <c r="C1154" s="40"/>
      <c r="E1154" s="40"/>
      <c r="G1154" s="40"/>
      <c r="X1154" s="40"/>
    </row>
    <row r="1155" spans="3:24" s="39" customFormat="1" ht="12.75">
      <c r="C1155" s="40"/>
      <c r="E1155" s="40"/>
      <c r="G1155" s="40"/>
      <c r="X1155" s="40"/>
    </row>
    <row r="1156" spans="3:24" s="39" customFormat="1" ht="12.75">
      <c r="C1156" s="40"/>
      <c r="E1156" s="40"/>
      <c r="G1156" s="40"/>
      <c r="X1156" s="40"/>
    </row>
    <row r="1157" spans="3:24" s="39" customFormat="1" ht="12.75">
      <c r="C1157" s="40"/>
      <c r="E1157" s="40"/>
      <c r="G1157" s="40"/>
      <c r="X1157" s="40"/>
    </row>
    <row r="1158" spans="3:24" s="39" customFormat="1" ht="12.75">
      <c r="C1158" s="40"/>
      <c r="E1158" s="40"/>
      <c r="G1158" s="40"/>
      <c r="X1158" s="40"/>
    </row>
    <row r="1159" spans="3:24" s="39" customFormat="1" ht="12.75">
      <c r="C1159" s="40"/>
      <c r="E1159" s="40"/>
      <c r="G1159" s="40"/>
      <c r="X1159" s="40"/>
    </row>
    <row r="1160" spans="3:24" s="39" customFormat="1" ht="12.75">
      <c r="C1160" s="40"/>
      <c r="E1160" s="40"/>
      <c r="G1160" s="40"/>
      <c r="X1160" s="40"/>
    </row>
    <row r="1161" spans="3:24" s="39" customFormat="1" ht="12.75">
      <c r="C1161" s="40"/>
      <c r="E1161" s="40"/>
      <c r="G1161" s="40"/>
      <c r="X1161" s="40"/>
    </row>
    <row r="1162" spans="3:24" s="39" customFormat="1" ht="12.75">
      <c r="C1162" s="40"/>
      <c r="E1162" s="40"/>
      <c r="G1162" s="40"/>
      <c r="X1162" s="40"/>
    </row>
    <row r="1163" spans="3:24" s="39" customFormat="1" ht="12.75">
      <c r="C1163" s="40"/>
      <c r="E1163" s="40"/>
      <c r="G1163" s="40"/>
      <c r="X1163" s="40"/>
    </row>
    <row r="1164" spans="3:24" s="39" customFormat="1" ht="12.75">
      <c r="C1164" s="40"/>
      <c r="E1164" s="40"/>
      <c r="G1164" s="40"/>
      <c r="X1164" s="40"/>
    </row>
    <row r="1165" spans="3:24" s="39" customFormat="1" ht="12.75">
      <c r="C1165" s="40"/>
      <c r="E1165" s="40"/>
      <c r="G1165" s="40"/>
      <c r="X1165" s="40"/>
    </row>
    <row r="1166" spans="3:24" s="39" customFormat="1" ht="12.75">
      <c r="C1166" s="40"/>
      <c r="E1166" s="40"/>
      <c r="G1166" s="40"/>
      <c r="X1166" s="40"/>
    </row>
    <row r="1167" spans="3:24" s="39" customFormat="1" ht="12.75">
      <c r="C1167" s="40"/>
      <c r="E1167" s="40"/>
      <c r="G1167" s="40"/>
      <c r="X1167" s="40"/>
    </row>
    <row r="1168" spans="3:24" s="39" customFormat="1" ht="12.75">
      <c r="C1168" s="40"/>
      <c r="E1168" s="40"/>
      <c r="G1168" s="40"/>
      <c r="X1168" s="40"/>
    </row>
    <row r="1169" spans="3:24" s="39" customFormat="1" ht="12.75">
      <c r="C1169" s="40"/>
      <c r="E1169" s="40"/>
      <c r="G1169" s="40"/>
      <c r="X1169" s="40"/>
    </row>
    <row r="1170" spans="3:24" s="39" customFormat="1" ht="12.75">
      <c r="C1170" s="40"/>
      <c r="E1170" s="40"/>
      <c r="G1170" s="40"/>
      <c r="X1170" s="40"/>
    </row>
    <row r="1171" spans="3:24" s="39" customFormat="1" ht="12.75">
      <c r="C1171" s="40"/>
      <c r="E1171" s="40"/>
      <c r="G1171" s="40"/>
      <c r="X1171" s="40"/>
    </row>
    <row r="1172" spans="3:24" s="39" customFormat="1" ht="12.75">
      <c r="C1172" s="40"/>
      <c r="E1172" s="40"/>
      <c r="G1172" s="40"/>
      <c r="X1172" s="40"/>
    </row>
    <row r="1173" spans="3:24" s="39" customFormat="1" ht="12.75">
      <c r="C1173" s="40"/>
      <c r="E1173" s="40"/>
      <c r="G1173" s="40"/>
      <c r="X1173" s="40"/>
    </row>
    <row r="1174" spans="3:24" s="39" customFormat="1" ht="12.75">
      <c r="C1174" s="40"/>
      <c r="E1174" s="40"/>
      <c r="G1174" s="40"/>
      <c r="X1174" s="40"/>
    </row>
    <row r="1175" spans="3:24" s="39" customFormat="1" ht="12.75">
      <c r="C1175" s="40"/>
      <c r="E1175" s="40"/>
      <c r="G1175" s="40"/>
      <c r="X1175" s="40"/>
    </row>
    <row r="1176" spans="3:24" s="39" customFormat="1" ht="12.75">
      <c r="C1176" s="40"/>
      <c r="E1176" s="40"/>
      <c r="G1176" s="40"/>
      <c r="X1176" s="40"/>
    </row>
    <row r="1177" spans="3:24" s="39" customFormat="1" ht="12.75">
      <c r="C1177" s="40"/>
      <c r="E1177" s="40"/>
      <c r="G1177" s="40"/>
      <c r="X1177" s="40"/>
    </row>
    <row r="1178" spans="3:24" s="39" customFormat="1" ht="12.75">
      <c r="C1178" s="40"/>
      <c r="E1178" s="40"/>
      <c r="G1178" s="40"/>
      <c r="X1178" s="40"/>
    </row>
    <row r="1179" spans="3:24" s="39" customFormat="1" ht="12.75">
      <c r="C1179" s="40"/>
      <c r="E1179" s="40"/>
      <c r="G1179" s="40"/>
      <c r="X1179" s="40"/>
    </row>
    <row r="1180" spans="3:24" s="39" customFormat="1" ht="12.75">
      <c r="C1180" s="40"/>
      <c r="E1180" s="40"/>
      <c r="G1180" s="40"/>
      <c r="X1180" s="40"/>
    </row>
    <row r="1181" spans="3:24" s="39" customFormat="1" ht="12.75">
      <c r="C1181" s="40"/>
      <c r="E1181" s="40"/>
      <c r="G1181" s="40"/>
      <c r="X1181" s="40"/>
    </row>
    <row r="1182" spans="3:24" s="39" customFormat="1" ht="12.75">
      <c r="C1182" s="40"/>
      <c r="E1182" s="40"/>
      <c r="G1182" s="40"/>
      <c r="X1182" s="40"/>
    </row>
    <row r="1183" spans="3:24" s="39" customFormat="1" ht="12.75">
      <c r="C1183" s="40"/>
      <c r="E1183" s="40"/>
      <c r="G1183" s="40"/>
      <c r="X1183" s="40"/>
    </row>
    <row r="1184" spans="3:24" s="39" customFormat="1" ht="12.75">
      <c r="C1184" s="40"/>
      <c r="E1184" s="40"/>
      <c r="G1184" s="40"/>
      <c r="X1184" s="40"/>
    </row>
    <row r="1185" spans="3:24" s="39" customFormat="1" ht="12.75">
      <c r="C1185" s="40"/>
      <c r="E1185" s="40"/>
      <c r="G1185" s="40"/>
      <c r="X1185" s="40"/>
    </row>
    <row r="1186" spans="3:24" s="39" customFormat="1" ht="12.75">
      <c r="C1186" s="40"/>
      <c r="E1186" s="40"/>
      <c r="G1186" s="40"/>
      <c r="X1186" s="40"/>
    </row>
    <row r="1187" spans="3:24" s="39" customFormat="1" ht="12.75">
      <c r="C1187" s="40"/>
      <c r="E1187" s="40"/>
      <c r="G1187" s="40"/>
      <c r="X1187" s="40"/>
    </row>
    <row r="1188" spans="3:24" s="39" customFormat="1" ht="12.75">
      <c r="C1188" s="40"/>
      <c r="E1188" s="40"/>
      <c r="G1188" s="40"/>
      <c r="X1188" s="40"/>
    </row>
    <row r="1189" spans="3:24" s="39" customFormat="1" ht="12.75">
      <c r="C1189" s="40"/>
      <c r="E1189" s="40"/>
      <c r="G1189" s="40"/>
      <c r="X1189" s="40"/>
    </row>
    <row r="1190" spans="3:24" s="39" customFormat="1" ht="12.75">
      <c r="C1190" s="40"/>
      <c r="E1190" s="40"/>
      <c r="G1190" s="40"/>
      <c r="X1190" s="40"/>
    </row>
    <row r="1191" spans="3:24" s="39" customFormat="1" ht="12.75">
      <c r="C1191" s="40"/>
      <c r="E1191" s="40"/>
      <c r="G1191" s="40"/>
      <c r="X1191" s="40"/>
    </row>
    <row r="1192" spans="3:24" s="39" customFormat="1" ht="12.75">
      <c r="C1192" s="40"/>
      <c r="E1192" s="40"/>
      <c r="G1192" s="40"/>
      <c r="X1192" s="40"/>
    </row>
    <row r="1193" spans="3:24" s="39" customFormat="1" ht="12.75">
      <c r="C1193" s="40"/>
      <c r="E1193" s="40"/>
      <c r="G1193" s="40"/>
      <c r="X1193" s="40"/>
    </row>
    <row r="1194" spans="3:24" s="39" customFormat="1" ht="12.75">
      <c r="C1194" s="40"/>
      <c r="E1194" s="40"/>
      <c r="G1194" s="40"/>
      <c r="X1194" s="40"/>
    </row>
    <row r="1195" spans="3:24" s="39" customFormat="1" ht="12.75">
      <c r="C1195" s="40"/>
      <c r="E1195" s="40"/>
      <c r="G1195" s="40"/>
      <c r="X1195" s="40"/>
    </row>
    <row r="1196" spans="3:24" s="39" customFormat="1" ht="12.75">
      <c r="C1196" s="40"/>
      <c r="E1196" s="40"/>
      <c r="G1196" s="40"/>
      <c r="X1196" s="40"/>
    </row>
    <row r="1197" spans="3:24" s="39" customFormat="1" ht="12.75">
      <c r="C1197" s="40"/>
      <c r="E1197" s="40"/>
      <c r="G1197" s="40"/>
      <c r="X1197" s="40"/>
    </row>
    <row r="1198" spans="3:24" s="39" customFormat="1" ht="12.75">
      <c r="C1198" s="40"/>
      <c r="E1198" s="40"/>
      <c r="G1198" s="40"/>
      <c r="X1198" s="40"/>
    </row>
    <row r="1199" spans="3:24" s="39" customFormat="1" ht="12.75">
      <c r="C1199" s="40"/>
      <c r="E1199" s="40"/>
      <c r="G1199" s="40"/>
      <c r="X1199" s="40"/>
    </row>
    <row r="1200" spans="3:24" s="39" customFormat="1" ht="12.75">
      <c r="C1200" s="40"/>
      <c r="E1200" s="40"/>
      <c r="G1200" s="40"/>
      <c r="X1200" s="40"/>
    </row>
    <row r="1201" spans="3:24" s="39" customFormat="1" ht="12.75">
      <c r="C1201" s="40"/>
      <c r="E1201" s="40"/>
      <c r="G1201" s="40"/>
      <c r="X1201" s="40"/>
    </row>
    <row r="1202" spans="3:24" s="39" customFormat="1" ht="12.75">
      <c r="C1202" s="40"/>
      <c r="E1202" s="40"/>
      <c r="G1202" s="40"/>
      <c r="X1202" s="40"/>
    </row>
    <row r="1203" spans="3:24" s="39" customFormat="1" ht="12.75">
      <c r="C1203" s="40"/>
      <c r="E1203" s="40"/>
      <c r="G1203" s="40"/>
      <c r="X1203" s="40"/>
    </row>
    <row r="1204" spans="3:24" s="39" customFormat="1" ht="12.75">
      <c r="C1204" s="40"/>
      <c r="E1204" s="40"/>
      <c r="G1204" s="40"/>
      <c r="X1204" s="40"/>
    </row>
    <row r="1205" spans="3:24" s="39" customFormat="1" ht="12.75">
      <c r="C1205" s="40"/>
      <c r="E1205" s="40"/>
      <c r="G1205" s="40"/>
      <c r="X1205" s="40"/>
    </row>
    <row r="1206" spans="3:24" s="39" customFormat="1" ht="12.75">
      <c r="C1206" s="40"/>
      <c r="E1206" s="40"/>
      <c r="G1206" s="40"/>
      <c r="X1206" s="40"/>
    </row>
    <row r="1207" spans="3:24" s="39" customFormat="1" ht="12.75">
      <c r="C1207" s="40"/>
      <c r="E1207" s="40"/>
      <c r="G1207" s="40"/>
      <c r="X1207" s="40"/>
    </row>
    <row r="1208" spans="3:24" s="39" customFormat="1" ht="12.75">
      <c r="C1208" s="40"/>
      <c r="E1208" s="40"/>
      <c r="G1208" s="40"/>
      <c r="X1208" s="40"/>
    </row>
    <row r="1209" spans="3:24" s="39" customFormat="1" ht="12.75">
      <c r="C1209" s="40"/>
      <c r="E1209" s="40"/>
      <c r="G1209" s="40"/>
      <c r="X1209" s="40"/>
    </row>
    <row r="1210" spans="3:24" s="39" customFormat="1" ht="12.75">
      <c r="C1210" s="40"/>
      <c r="E1210" s="40"/>
      <c r="G1210" s="40"/>
      <c r="X1210" s="40"/>
    </row>
    <row r="1211" spans="3:24" s="39" customFormat="1" ht="12.75">
      <c r="C1211" s="40"/>
      <c r="E1211" s="40"/>
      <c r="G1211" s="40"/>
      <c r="X1211" s="40"/>
    </row>
    <row r="1212" spans="3:24" s="39" customFormat="1" ht="12.75">
      <c r="C1212" s="40"/>
      <c r="E1212" s="40"/>
      <c r="G1212" s="40"/>
      <c r="X1212" s="40"/>
    </row>
    <row r="1213" spans="3:24" s="39" customFormat="1" ht="12.75">
      <c r="C1213" s="40"/>
      <c r="E1213" s="40"/>
      <c r="G1213" s="40"/>
      <c r="X1213" s="40"/>
    </row>
    <row r="1214" spans="3:24" s="39" customFormat="1" ht="12.75">
      <c r="C1214" s="40"/>
      <c r="E1214" s="40"/>
      <c r="G1214" s="40"/>
      <c r="X1214" s="40"/>
    </row>
    <row r="1215" spans="3:24" s="39" customFormat="1" ht="12.75">
      <c r="C1215" s="40"/>
      <c r="E1215" s="40"/>
      <c r="G1215" s="40"/>
      <c r="X1215" s="40"/>
    </row>
    <row r="1216" spans="3:24" s="39" customFormat="1" ht="12.75">
      <c r="C1216" s="40"/>
      <c r="E1216" s="40"/>
      <c r="G1216" s="40"/>
      <c r="X1216" s="40"/>
    </row>
    <row r="1217" spans="3:24" s="39" customFormat="1" ht="12.75">
      <c r="C1217" s="40"/>
      <c r="E1217" s="40"/>
      <c r="G1217" s="40"/>
      <c r="X1217" s="40"/>
    </row>
    <row r="1218" spans="3:24" s="39" customFormat="1" ht="12.75">
      <c r="C1218" s="40"/>
      <c r="E1218" s="40"/>
      <c r="G1218" s="40"/>
      <c r="X1218" s="40"/>
    </row>
    <row r="1219" spans="3:24" s="39" customFormat="1" ht="12.75">
      <c r="C1219" s="40"/>
      <c r="E1219" s="40"/>
      <c r="G1219" s="40"/>
      <c r="X1219" s="40"/>
    </row>
    <row r="1220" spans="3:24" s="39" customFormat="1" ht="12.75">
      <c r="C1220" s="40"/>
      <c r="E1220" s="40"/>
      <c r="G1220" s="40"/>
      <c r="X1220" s="40"/>
    </row>
    <row r="1221" spans="3:24" s="39" customFormat="1" ht="12.75">
      <c r="C1221" s="40"/>
      <c r="E1221" s="40"/>
      <c r="G1221" s="40"/>
      <c r="X1221" s="40"/>
    </row>
    <row r="1222" spans="3:24" s="39" customFormat="1" ht="12.75">
      <c r="C1222" s="40"/>
      <c r="E1222" s="40"/>
      <c r="G1222" s="40"/>
      <c r="X1222" s="40"/>
    </row>
    <row r="1223" spans="3:24" s="39" customFormat="1" ht="12.75">
      <c r="C1223" s="40"/>
      <c r="E1223" s="40"/>
      <c r="G1223" s="40"/>
      <c r="X1223" s="40"/>
    </row>
    <row r="1224" spans="3:24" s="39" customFormat="1" ht="12.75">
      <c r="C1224" s="40"/>
      <c r="E1224" s="40"/>
      <c r="G1224" s="40"/>
      <c r="X1224" s="40"/>
    </row>
    <row r="1225" spans="3:24" s="39" customFormat="1" ht="12.75">
      <c r="C1225" s="40"/>
      <c r="E1225" s="40"/>
      <c r="G1225" s="40"/>
      <c r="X1225" s="40"/>
    </row>
    <row r="1226" spans="3:24" s="39" customFormat="1" ht="12.75">
      <c r="C1226" s="40"/>
      <c r="E1226" s="40"/>
      <c r="G1226" s="40"/>
      <c r="X1226" s="40"/>
    </row>
    <row r="1227" spans="3:24" s="39" customFormat="1" ht="12.75">
      <c r="C1227" s="40"/>
      <c r="E1227" s="40"/>
      <c r="G1227" s="40"/>
      <c r="X1227" s="40"/>
    </row>
    <row r="1228" spans="3:24" s="39" customFormat="1" ht="12.75">
      <c r="C1228" s="40"/>
      <c r="E1228" s="40"/>
      <c r="G1228" s="40"/>
      <c r="X1228" s="40"/>
    </row>
    <row r="1229" spans="3:24" s="39" customFormat="1" ht="12.75">
      <c r="C1229" s="40"/>
      <c r="E1229" s="40"/>
      <c r="G1229" s="40"/>
      <c r="X1229" s="40"/>
    </row>
    <row r="1230" spans="3:24" s="39" customFormat="1" ht="12.75">
      <c r="C1230" s="40"/>
      <c r="E1230" s="40"/>
      <c r="G1230" s="40"/>
      <c r="X1230" s="40"/>
    </row>
    <row r="1231" spans="3:24" s="39" customFormat="1" ht="12.75">
      <c r="C1231" s="40"/>
      <c r="E1231" s="40"/>
      <c r="G1231" s="40"/>
      <c r="X1231" s="40"/>
    </row>
    <row r="1232" spans="3:24" s="39" customFormat="1" ht="12.75">
      <c r="C1232" s="40"/>
      <c r="E1232" s="40"/>
      <c r="G1232" s="40"/>
      <c r="X1232" s="40"/>
    </row>
    <row r="1233" spans="3:24" s="39" customFormat="1" ht="12.75">
      <c r="C1233" s="40"/>
      <c r="E1233" s="40"/>
      <c r="G1233" s="40"/>
      <c r="X1233" s="40"/>
    </row>
    <row r="1234" spans="3:24" s="39" customFormat="1" ht="12.75">
      <c r="C1234" s="40"/>
      <c r="E1234" s="40"/>
      <c r="G1234" s="40"/>
      <c r="X1234" s="40"/>
    </row>
    <row r="1235" spans="3:24" s="39" customFormat="1" ht="12.75">
      <c r="C1235" s="40"/>
      <c r="E1235" s="40"/>
      <c r="G1235" s="40"/>
      <c r="X1235" s="40"/>
    </row>
    <row r="1236" spans="3:24" s="39" customFormat="1" ht="12.75">
      <c r="C1236" s="40"/>
      <c r="E1236" s="40"/>
      <c r="G1236" s="40"/>
      <c r="X1236" s="40"/>
    </row>
    <row r="1237" spans="3:24" s="39" customFormat="1" ht="12.75">
      <c r="C1237" s="40"/>
      <c r="E1237" s="40"/>
      <c r="G1237" s="40"/>
      <c r="X1237" s="40"/>
    </row>
    <row r="1238" spans="3:24" s="39" customFormat="1" ht="12.75">
      <c r="C1238" s="40"/>
      <c r="E1238" s="40"/>
      <c r="G1238" s="40"/>
      <c r="X1238" s="40"/>
    </row>
    <row r="1239" spans="3:24" s="39" customFormat="1" ht="12.75">
      <c r="C1239" s="40"/>
      <c r="E1239" s="40"/>
      <c r="G1239" s="40"/>
      <c r="X1239" s="40"/>
    </row>
    <row r="1240" spans="3:24" s="39" customFormat="1" ht="12.75">
      <c r="C1240" s="40"/>
      <c r="E1240" s="40"/>
      <c r="G1240" s="40"/>
      <c r="X1240" s="40"/>
    </row>
    <row r="1241" spans="3:24" s="39" customFormat="1" ht="12.75">
      <c r="C1241" s="40"/>
      <c r="E1241" s="40"/>
      <c r="G1241" s="40"/>
      <c r="X1241" s="40"/>
    </row>
    <row r="1242" spans="3:24" s="39" customFormat="1" ht="12.75">
      <c r="C1242" s="40"/>
      <c r="E1242" s="40"/>
      <c r="G1242" s="40"/>
      <c r="X1242" s="40"/>
    </row>
    <row r="1243" spans="3:24" s="39" customFormat="1" ht="12.75">
      <c r="C1243" s="40"/>
      <c r="E1243" s="40"/>
      <c r="G1243" s="40"/>
      <c r="X1243" s="40"/>
    </row>
    <row r="1244" spans="3:24" s="39" customFormat="1" ht="12.75">
      <c r="C1244" s="40"/>
      <c r="E1244" s="40"/>
      <c r="G1244" s="40"/>
      <c r="X1244" s="40"/>
    </row>
    <row r="1245" spans="3:24" s="39" customFormat="1" ht="12.75">
      <c r="C1245" s="40"/>
      <c r="E1245" s="40"/>
      <c r="G1245" s="40"/>
      <c r="X1245" s="40"/>
    </row>
    <row r="1246" spans="3:24" s="39" customFormat="1" ht="12.75">
      <c r="C1246" s="40"/>
      <c r="E1246" s="40"/>
      <c r="G1246" s="40"/>
      <c r="X1246" s="40"/>
    </row>
    <row r="1247" spans="3:24" s="39" customFormat="1" ht="12.75">
      <c r="C1247" s="40"/>
      <c r="E1247" s="40"/>
      <c r="G1247" s="40"/>
      <c r="X1247" s="40"/>
    </row>
    <row r="1248" spans="3:24" s="39" customFormat="1" ht="12.75">
      <c r="C1248" s="40"/>
      <c r="E1248" s="40"/>
      <c r="G1248" s="40"/>
      <c r="X1248" s="40"/>
    </row>
    <row r="1249" spans="3:24" s="39" customFormat="1" ht="12.75">
      <c r="C1249" s="40"/>
      <c r="E1249" s="40"/>
      <c r="G1249" s="40"/>
      <c r="X1249" s="40"/>
    </row>
    <row r="1250" spans="3:24" s="39" customFormat="1" ht="12.75">
      <c r="C1250" s="40"/>
      <c r="E1250" s="40"/>
      <c r="G1250" s="40"/>
      <c r="X1250" s="40"/>
    </row>
    <row r="1251" spans="3:24" s="39" customFormat="1" ht="12.75">
      <c r="C1251" s="40"/>
      <c r="E1251" s="40"/>
      <c r="G1251" s="40"/>
      <c r="X1251" s="40"/>
    </row>
    <row r="1252" spans="3:24" s="39" customFormat="1" ht="12.75">
      <c r="C1252" s="40"/>
      <c r="E1252" s="40"/>
      <c r="G1252" s="40"/>
      <c r="X1252" s="40"/>
    </row>
    <row r="1253" spans="3:24" s="39" customFormat="1" ht="12.75">
      <c r="C1253" s="40"/>
      <c r="E1253" s="40"/>
      <c r="G1253" s="40"/>
      <c r="X1253" s="40"/>
    </row>
    <row r="1254" spans="3:24" s="39" customFormat="1" ht="12.75">
      <c r="C1254" s="40"/>
      <c r="E1254" s="40"/>
      <c r="G1254" s="40"/>
      <c r="X1254" s="40"/>
    </row>
    <row r="1255" spans="3:24" s="39" customFormat="1" ht="12.75">
      <c r="C1255" s="40"/>
      <c r="E1255" s="40"/>
      <c r="G1255" s="40"/>
      <c r="X1255" s="40"/>
    </row>
    <row r="1256" spans="3:24" s="39" customFormat="1" ht="12.75">
      <c r="C1256" s="40"/>
      <c r="E1256" s="40"/>
      <c r="G1256" s="40"/>
      <c r="X1256" s="40"/>
    </row>
    <row r="1257" spans="3:24" s="39" customFormat="1" ht="12.75">
      <c r="C1257" s="40"/>
      <c r="E1257" s="40"/>
      <c r="G1257" s="40"/>
      <c r="X1257" s="40"/>
    </row>
    <row r="1258" spans="3:24" s="39" customFormat="1" ht="12.75">
      <c r="C1258" s="40"/>
      <c r="E1258" s="40"/>
      <c r="G1258" s="40"/>
      <c r="X1258" s="40"/>
    </row>
    <row r="1259" spans="3:24" s="39" customFormat="1" ht="12.75">
      <c r="C1259" s="40"/>
      <c r="E1259" s="40"/>
      <c r="G1259" s="40"/>
      <c r="X1259" s="40"/>
    </row>
    <row r="1260" spans="3:24" s="39" customFormat="1" ht="12.75">
      <c r="C1260" s="40"/>
      <c r="E1260" s="40"/>
      <c r="G1260" s="40"/>
      <c r="X1260" s="40"/>
    </row>
    <row r="1261" spans="3:24" s="39" customFormat="1" ht="12.75">
      <c r="C1261" s="40"/>
      <c r="E1261" s="40"/>
      <c r="G1261" s="40"/>
      <c r="X1261" s="40"/>
    </row>
    <row r="1262" spans="3:24" s="39" customFormat="1" ht="12.75">
      <c r="C1262" s="40"/>
      <c r="E1262" s="40"/>
      <c r="G1262" s="40"/>
      <c r="X1262" s="40"/>
    </row>
    <row r="1263" spans="3:24" s="39" customFormat="1" ht="12.75">
      <c r="C1263" s="40"/>
      <c r="E1263" s="40"/>
      <c r="G1263" s="40"/>
      <c r="X1263" s="40"/>
    </row>
    <row r="1264" spans="3:24" s="39" customFormat="1" ht="12.75">
      <c r="C1264" s="40"/>
      <c r="E1264" s="40"/>
      <c r="G1264" s="40"/>
      <c r="X1264" s="40"/>
    </row>
    <row r="1265" spans="3:24" s="39" customFormat="1" ht="12.75">
      <c r="C1265" s="40"/>
      <c r="E1265" s="40"/>
      <c r="G1265" s="40"/>
      <c r="X1265" s="40"/>
    </row>
    <row r="1266" spans="3:24" s="39" customFormat="1" ht="12.75">
      <c r="C1266" s="40"/>
      <c r="E1266" s="40"/>
      <c r="G1266" s="40"/>
      <c r="X1266" s="40"/>
    </row>
    <row r="1267" spans="3:24" s="39" customFormat="1" ht="12.75">
      <c r="C1267" s="40"/>
      <c r="E1267" s="40"/>
      <c r="G1267" s="40"/>
      <c r="X1267" s="40"/>
    </row>
    <row r="1268" spans="3:24" s="39" customFormat="1" ht="12.75">
      <c r="C1268" s="40"/>
      <c r="E1268" s="40"/>
      <c r="G1268" s="40"/>
      <c r="X1268" s="40"/>
    </row>
    <row r="1269" spans="3:24" s="39" customFormat="1" ht="12.75">
      <c r="C1269" s="40"/>
      <c r="E1269" s="40"/>
      <c r="G1269" s="40"/>
      <c r="X1269" s="40"/>
    </row>
    <row r="1270" spans="3:24" s="39" customFormat="1" ht="12.75">
      <c r="C1270" s="40"/>
      <c r="E1270" s="40"/>
      <c r="G1270" s="40"/>
      <c r="X1270" s="40"/>
    </row>
    <row r="1271" spans="3:24" s="39" customFormat="1" ht="12.75">
      <c r="C1271" s="40"/>
      <c r="E1271" s="40"/>
      <c r="G1271" s="40"/>
      <c r="X1271" s="40"/>
    </row>
    <row r="1272" spans="3:24" s="39" customFormat="1" ht="12.75">
      <c r="C1272" s="40"/>
      <c r="E1272" s="40"/>
      <c r="G1272" s="40"/>
      <c r="X1272" s="40"/>
    </row>
    <row r="1273" spans="3:24" s="39" customFormat="1" ht="12.75">
      <c r="C1273" s="40"/>
      <c r="E1273" s="40"/>
      <c r="G1273" s="40"/>
      <c r="X1273" s="40"/>
    </row>
    <row r="1274" spans="3:24" s="39" customFormat="1" ht="12.75">
      <c r="C1274" s="40"/>
      <c r="E1274" s="40"/>
      <c r="G1274" s="40"/>
      <c r="X1274" s="40"/>
    </row>
    <row r="1275" spans="3:24" s="39" customFormat="1" ht="12.75">
      <c r="C1275" s="40"/>
      <c r="E1275" s="40"/>
      <c r="G1275" s="40"/>
      <c r="X1275" s="40"/>
    </row>
    <row r="1276" spans="3:24" s="39" customFormat="1" ht="12.75">
      <c r="C1276" s="40"/>
      <c r="E1276" s="40"/>
      <c r="G1276" s="40"/>
      <c r="X1276" s="40"/>
    </row>
    <row r="1277" spans="3:24" s="39" customFormat="1" ht="12.75">
      <c r="C1277" s="40"/>
      <c r="E1277" s="40"/>
      <c r="G1277" s="40"/>
      <c r="X1277" s="40"/>
    </row>
    <row r="1278" spans="3:24" s="39" customFormat="1" ht="12.75">
      <c r="C1278" s="40"/>
      <c r="E1278" s="40"/>
      <c r="G1278" s="40"/>
      <c r="X1278" s="40"/>
    </row>
    <row r="1279" spans="3:24" s="39" customFormat="1" ht="12.75">
      <c r="C1279" s="40"/>
      <c r="E1279" s="40"/>
      <c r="G1279" s="40"/>
      <c r="X1279" s="40"/>
    </row>
    <row r="1280" spans="3:24" s="39" customFormat="1" ht="12.75">
      <c r="C1280" s="40"/>
      <c r="E1280" s="40"/>
      <c r="G1280" s="40"/>
      <c r="X1280" s="40"/>
    </row>
    <row r="1281" spans="3:24" s="39" customFormat="1" ht="12.75">
      <c r="C1281" s="40"/>
      <c r="E1281" s="40"/>
      <c r="G1281" s="40"/>
      <c r="X1281" s="40"/>
    </row>
    <row r="1282" spans="3:24" s="39" customFormat="1" ht="12.75">
      <c r="C1282" s="40"/>
      <c r="E1282" s="40"/>
      <c r="G1282" s="40"/>
      <c r="X1282" s="40"/>
    </row>
    <row r="1283" spans="3:24" s="39" customFormat="1" ht="12.75">
      <c r="C1283" s="40"/>
      <c r="E1283" s="40"/>
      <c r="G1283" s="40"/>
      <c r="X1283" s="40"/>
    </row>
    <row r="1284" spans="3:24" s="39" customFormat="1" ht="12.75">
      <c r="C1284" s="40"/>
      <c r="E1284" s="40"/>
      <c r="G1284" s="40"/>
      <c r="X1284" s="40"/>
    </row>
    <row r="1285" spans="3:24" s="39" customFormat="1" ht="12.75">
      <c r="C1285" s="40"/>
      <c r="E1285" s="40"/>
      <c r="G1285" s="40"/>
      <c r="X1285" s="40"/>
    </row>
    <row r="1286" spans="3:24" s="39" customFormat="1" ht="12.75">
      <c r="C1286" s="40"/>
      <c r="E1286" s="40"/>
      <c r="G1286" s="40"/>
      <c r="X1286" s="40"/>
    </row>
    <row r="1287" spans="3:24" s="39" customFormat="1" ht="12.75">
      <c r="C1287" s="40"/>
      <c r="E1287" s="40"/>
      <c r="G1287" s="40"/>
      <c r="X1287" s="40"/>
    </row>
    <row r="1288" spans="3:24" s="39" customFormat="1" ht="12.75">
      <c r="C1288" s="40"/>
      <c r="E1288" s="40"/>
      <c r="G1288" s="40"/>
      <c r="X1288" s="40"/>
    </row>
    <row r="1289" spans="3:24" s="39" customFormat="1" ht="12.75">
      <c r="C1289" s="40"/>
      <c r="E1289" s="40"/>
      <c r="G1289" s="40"/>
      <c r="X1289" s="40"/>
    </row>
    <row r="1290" spans="3:24" s="39" customFormat="1" ht="12.75">
      <c r="C1290" s="40"/>
      <c r="E1290" s="40"/>
      <c r="G1290" s="40"/>
      <c r="X1290" s="40"/>
    </row>
    <row r="1291" spans="3:24" s="39" customFormat="1" ht="12.75">
      <c r="C1291" s="40"/>
      <c r="E1291" s="40"/>
      <c r="G1291" s="40"/>
      <c r="X1291" s="40"/>
    </row>
    <row r="1292" spans="3:24" s="39" customFormat="1" ht="12.75">
      <c r="C1292" s="40"/>
      <c r="E1292" s="40"/>
      <c r="G1292" s="40"/>
      <c r="X1292" s="40"/>
    </row>
    <row r="1293" spans="3:24" s="39" customFormat="1" ht="12.75">
      <c r="C1293" s="40"/>
      <c r="E1293" s="40"/>
      <c r="G1293" s="40"/>
      <c r="X1293" s="40"/>
    </row>
    <row r="1294" spans="3:24" s="39" customFormat="1" ht="12.75">
      <c r="C1294" s="40"/>
      <c r="E1294" s="40"/>
      <c r="G1294" s="40"/>
      <c r="X1294" s="40"/>
    </row>
    <row r="1295" spans="3:24" s="39" customFormat="1" ht="12.75">
      <c r="C1295" s="40"/>
      <c r="E1295" s="40"/>
      <c r="G1295" s="40"/>
      <c r="X1295" s="40"/>
    </row>
    <row r="1296" spans="3:24" s="39" customFormat="1" ht="12.75">
      <c r="C1296" s="40"/>
      <c r="E1296" s="40"/>
      <c r="G1296" s="40"/>
      <c r="X1296" s="40"/>
    </row>
    <row r="1297" spans="3:24" s="39" customFormat="1" ht="12.75">
      <c r="C1297" s="40"/>
      <c r="E1297" s="40"/>
      <c r="G1297" s="40"/>
      <c r="X1297" s="40"/>
    </row>
    <row r="1298" spans="3:24" s="39" customFormat="1" ht="12.75">
      <c r="C1298" s="40"/>
      <c r="E1298" s="40"/>
      <c r="G1298" s="40"/>
      <c r="X1298" s="40"/>
    </row>
    <row r="1299" spans="3:24" s="39" customFormat="1" ht="12.75">
      <c r="C1299" s="40"/>
      <c r="E1299" s="40"/>
      <c r="G1299" s="40"/>
      <c r="X1299" s="40"/>
    </row>
    <row r="1300" spans="3:24" s="39" customFormat="1" ht="12.75">
      <c r="C1300" s="40"/>
      <c r="E1300" s="40"/>
      <c r="G1300" s="40"/>
      <c r="X1300" s="40"/>
    </row>
    <row r="1301" spans="3:24" s="39" customFormat="1" ht="12.75">
      <c r="C1301" s="40"/>
      <c r="E1301" s="40"/>
      <c r="G1301" s="40"/>
      <c r="X1301" s="40"/>
    </row>
    <row r="1302" spans="3:24" s="39" customFormat="1" ht="12.75">
      <c r="C1302" s="40"/>
      <c r="E1302" s="40"/>
      <c r="G1302" s="40"/>
      <c r="X1302" s="40"/>
    </row>
    <row r="1303" spans="3:24" s="39" customFormat="1" ht="12.75">
      <c r="C1303" s="40"/>
      <c r="E1303" s="40"/>
      <c r="G1303" s="40"/>
      <c r="X1303" s="40"/>
    </row>
    <row r="1304" spans="3:24" s="39" customFormat="1" ht="12.75">
      <c r="C1304" s="40"/>
      <c r="E1304" s="40"/>
      <c r="G1304" s="40"/>
      <c r="X1304" s="40"/>
    </row>
    <row r="1305" spans="3:24" s="39" customFormat="1" ht="12.75">
      <c r="C1305" s="40"/>
      <c r="E1305" s="40"/>
      <c r="G1305" s="40"/>
      <c r="X1305" s="40"/>
    </row>
    <row r="1306" spans="3:24" s="39" customFormat="1" ht="12.75">
      <c r="C1306" s="40"/>
      <c r="E1306" s="40"/>
      <c r="G1306" s="40"/>
      <c r="X1306" s="40"/>
    </row>
    <row r="1307" spans="3:24" s="39" customFormat="1" ht="12.75">
      <c r="C1307" s="40"/>
      <c r="E1307" s="40"/>
      <c r="G1307" s="40"/>
      <c r="X1307" s="40"/>
    </row>
    <row r="1308" spans="3:24" s="39" customFormat="1" ht="12.75">
      <c r="C1308" s="40"/>
      <c r="E1308" s="40"/>
      <c r="G1308" s="40"/>
      <c r="X1308" s="40"/>
    </row>
    <row r="1309" spans="3:24" s="39" customFormat="1" ht="12.75">
      <c r="C1309" s="40"/>
      <c r="E1309" s="40"/>
      <c r="G1309" s="40"/>
      <c r="X1309" s="40"/>
    </row>
    <row r="1310" spans="3:24" s="39" customFormat="1" ht="12.75">
      <c r="C1310" s="40"/>
      <c r="E1310" s="40"/>
      <c r="G1310" s="40"/>
      <c r="X1310" s="40"/>
    </row>
    <row r="1311" spans="3:24" s="39" customFormat="1" ht="12.75">
      <c r="C1311" s="40"/>
      <c r="E1311" s="40"/>
      <c r="G1311" s="40"/>
      <c r="X1311" s="40"/>
    </row>
    <row r="1312" spans="3:24" s="39" customFormat="1" ht="12.75">
      <c r="C1312" s="40"/>
      <c r="E1312" s="40"/>
      <c r="G1312" s="40"/>
      <c r="X1312" s="40"/>
    </row>
    <row r="1313" spans="3:24" s="39" customFormat="1" ht="12.75">
      <c r="C1313" s="40"/>
      <c r="E1313" s="40"/>
      <c r="G1313" s="40"/>
      <c r="X1313" s="40"/>
    </row>
    <row r="1314" spans="3:24" s="39" customFormat="1" ht="12.75">
      <c r="C1314" s="40"/>
      <c r="E1314" s="40"/>
      <c r="G1314" s="40"/>
      <c r="X1314" s="40"/>
    </row>
    <row r="1315" spans="3:24" s="39" customFormat="1" ht="12.75">
      <c r="C1315" s="40"/>
      <c r="E1315" s="40"/>
      <c r="G1315" s="40"/>
      <c r="X1315" s="40"/>
    </row>
    <row r="1316" spans="3:24" s="39" customFormat="1" ht="12.75">
      <c r="C1316" s="40"/>
      <c r="E1316" s="40"/>
      <c r="G1316" s="40"/>
      <c r="X1316" s="40"/>
    </row>
    <row r="1317" spans="3:24" s="39" customFormat="1" ht="12.75">
      <c r="C1317" s="40"/>
      <c r="E1317" s="40"/>
      <c r="G1317" s="40"/>
      <c r="X1317" s="40"/>
    </row>
    <row r="1318" spans="3:24" s="39" customFormat="1" ht="12.75">
      <c r="C1318" s="40"/>
      <c r="E1318" s="40"/>
      <c r="G1318" s="40"/>
      <c r="X1318" s="40"/>
    </row>
    <row r="1319" spans="3:24" s="39" customFormat="1" ht="12.75">
      <c r="C1319" s="40"/>
      <c r="E1319" s="40"/>
      <c r="G1319" s="40"/>
      <c r="X1319" s="40"/>
    </row>
    <row r="1320" spans="3:24" s="39" customFormat="1" ht="12.75">
      <c r="C1320" s="40"/>
      <c r="E1320" s="40"/>
      <c r="G1320" s="40"/>
      <c r="X1320" s="40"/>
    </row>
    <row r="1321" spans="3:24" s="39" customFormat="1" ht="12.75">
      <c r="C1321" s="40"/>
      <c r="E1321" s="40"/>
      <c r="G1321" s="40"/>
      <c r="X1321" s="40"/>
    </row>
    <row r="1322" spans="3:24" s="39" customFormat="1" ht="12.75">
      <c r="C1322" s="40"/>
      <c r="E1322" s="40"/>
      <c r="G1322" s="40"/>
      <c r="X1322" s="40"/>
    </row>
    <row r="1323" spans="3:24" s="39" customFormat="1" ht="12.75">
      <c r="C1323" s="40"/>
      <c r="E1323" s="40"/>
      <c r="G1323" s="40"/>
      <c r="X1323" s="40"/>
    </row>
    <row r="1324" spans="3:24" s="39" customFormat="1" ht="12.75">
      <c r="C1324" s="40"/>
      <c r="E1324" s="40"/>
      <c r="G1324" s="40"/>
      <c r="X1324" s="40"/>
    </row>
    <row r="1325" spans="3:24" s="39" customFormat="1" ht="12.75">
      <c r="C1325" s="40"/>
      <c r="E1325" s="40"/>
      <c r="G1325" s="40"/>
      <c r="X1325" s="40"/>
    </row>
    <row r="1326" spans="3:24" s="39" customFormat="1" ht="12.75">
      <c r="C1326" s="40"/>
      <c r="E1326" s="40"/>
      <c r="G1326" s="40"/>
      <c r="X1326" s="40"/>
    </row>
    <row r="1327" spans="3:24" s="39" customFormat="1" ht="12.75">
      <c r="C1327" s="40"/>
      <c r="E1327" s="40"/>
      <c r="G1327" s="40"/>
      <c r="X1327" s="40"/>
    </row>
    <row r="1328" spans="3:24" s="39" customFormat="1" ht="12.75">
      <c r="C1328" s="40"/>
      <c r="E1328" s="40"/>
      <c r="G1328" s="40"/>
      <c r="X1328" s="40"/>
    </row>
    <row r="1329" spans="3:24" s="39" customFormat="1" ht="12.75">
      <c r="C1329" s="40"/>
      <c r="E1329" s="40"/>
      <c r="G1329" s="40"/>
      <c r="X1329" s="40"/>
    </row>
    <row r="1330" spans="3:24" s="39" customFormat="1" ht="12.75">
      <c r="C1330" s="40"/>
      <c r="E1330" s="40"/>
      <c r="G1330" s="40"/>
      <c r="X1330" s="40"/>
    </row>
    <row r="1331" spans="3:24" s="39" customFormat="1" ht="12.75">
      <c r="C1331" s="40"/>
      <c r="E1331" s="40"/>
      <c r="G1331" s="40"/>
      <c r="X1331" s="40"/>
    </row>
    <row r="1332" spans="3:24" s="39" customFormat="1" ht="12.75">
      <c r="C1332" s="40"/>
      <c r="E1332" s="40"/>
      <c r="G1332" s="40"/>
      <c r="X1332" s="40"/>
    </row>
    <row r="1333" spans="3:24" s="39" customFormat="1" ht="12.75">
      <c r="C1333" s="40"/>
      <c r="E1333" s="40"/>
      <c r="G1333" s="40"/>
      <c r="X1333" s="40"/>
    </row>
    <row r="1334" spans="3:24" s="39" customFormat="1" ht="12.75">
      <c r="C1334" s="40"/>
      <c r="E1334" s="40"/>
      <c r="G1334" s="40"/>
      <c r="X1334" s="40"/>
    </row>
    <row r="1335" spans="3:24" s="39" customFormat="1" ht="12.75">
      <c r="C1335" s="40"/>
      <c r="E1335" s="40"/>
      <c r="G1335" s="40"/>
      <c r="X1335" s="40"/>
    </row>
    <row r="1336" spans="3:24" s="39" customFormat="1" ht="12.75">
      <c r="C1336" s="40"/>
      <c r="E1336" s="40"/>
      <c r="G1336" s="40"/>
      <c r="X1336" s="40"/>
    </row>
    <row r="1337" spans="3:24" s="39" customFormat="1" ht="12.75">
      <c r="C1337" s="40"/>
      <c r="E1337" s="40"/>
      <c r="G1337" s="40"/>
      <c r="X1337" s="40"/>
    </row>
  </sheetData>
  <mergeCells count="10">
    <mergeCell ref="X1:Y1"/>
    <mergeCell ref="V1:W1"/>
    <mergeCell ref="S1:T1"/>
    <mergeCell ref="B1:C1"/>
    <mergeCell ref="D1:E1"/>
    <mergeCell ref="F1:G1"/>
    <mergeCell ref="H1:I1"/>
    <mergeCell ref="J1:L1"/>
    <mergeCell ref="M1:O1"/>
    <mergeCell ref="P1:R1"/>
  </mergeCells>
  <printOptions horizontalCentered="1"/>
  <pageMargins left="0.25" right="0.25" top="0.7" bottom="0.5" header="0.28" footer="0.25"/>
  <pageSetup horizontalDpi="600" verticalDpi="600" orientation="landscape" scale="65"/>
  <headerFooter alignWithMargins="0">
    <oddHeader>&amp;C&amp;"Times New Roman,Bold"&amp;16Appendix F:  Madison Metropolitan School District
Revenue &amp; Expenditure History
Budget Years 2000-01 thru 2008-09</oddHeader>
    <oddFooter>&amp;L&amp;"Times New Roman,Regular"&amp;Z
&amp;F&amp;R&amp;"Times New Roman,Regular"Appendix F,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A1" sqref="A1"/>
    </sheetView>
  </sheetViews>
  <sheetFormatPr defaultColWidth="8.8515625" defaultRowHeight="12.75"/>
  <cols>
    <col min="1" max="1" width="11.421875" style="0" customWidth="1"/>
    <col min="2" max="2" width="15.00390625" style="0" bestFit="1" customWidth="1"/>
    <col min="3" max="15" width="12.28125" style="0" bestFit="1" customWidth="1"/>
    <col min="16" max="16" width="11.421875" style="0" customWidth="1"/>
    <col min="17" max="17" width="15.00390625" style="0" bestFit="1" customWidth="1"/>
    <col min="18" max="16384" width="11.421875" style="0" customWidth="1"/>
  </cols>
  <sheetData>
    <row r="1" spans="3:15" ht="12.75">
      <c r="C1" s="75" t="s">
        <v>6</v>
      </c>
      <c r="E1" s="30"/>
      <c r="F1" t="s">
        <v>7</v>
      </c>
      <c r="H1" s="30"/>
      <c r="I1" t="s">
        <v>8</v>
      </c>
      <c r="K1" s="30"/>
      <c r="L1" t="s">
        <v>40</v>
      </c>
      <c r="N1" s="112" t="s">
        <v>41</v>
      </c>
      <c r="O1" s="113"/>
    </row>
    <row r="2" spans="2:15" ht="12.75">
      <c r="B2" s="74" t="s">
        <v>47</v>
      </c>
      <c r="C2" s="74" t="s">
        <v>49</v>
      </c>
      <c r="D2" s="74" t="s">
        <v>48</v>
      </c>
      <c r="E2" s="77" t="s">
        <v>47</v>
      </c>
      <c r="F2" s="74" t="s">
        <v>49</v>
      </c>
      <c r="G2" s="74" t="s">
        <v>48</v>
      </c>
      <c r="H2" s="77" t="s">
        <v>47</v>
      </c>
      <c r="I2" s="74" t="s">
        <v>49</v>
      </c>
      <c r="J2" s="74" t="s">
        <v>48</v>
      </c>
      <c r="K2" s="77" t="s">
        <v>47</v>
      </c>
      <c r="L2" s="74" t="s">
        <v>49</v>
      </c>
      <c r="M2" s="74" t="s">
        <v>48</v>
      </c>
      <c r="N2" s="77" t="s">
        <v>47</v>
      </c>
      <c r="O2" s="79" t="s">
        <v>49</v>
      </c>
    </row>
    <row r="3" spans="1:15" ht="12.75">
      <c r="A3" s="73">
        <v>10</v>
      </c>
      <c r="B3" s="1">
        <v>258691419</v>
      </c>
      <c r="C3" s="1">
        <v>258606716</v>
      </c>
      <c r="D3" s="1">
        <v>265345908</v>
      </c>
      <c r="E3" s="5">
        <v>261749463</v>
      </c>
      <c r="F3" s="1">
        <v>266952722</v>
      </c>
      <c r="G3" s="1">
        <v>272347980</v>
      </c>
      <c r="H3" s="5">
        <v>271749269</v>
      </c>
      <c r="I3" s="1">
        <v>273174576</v>
      </c>
      <c r="J3" s="1">
        <v>276808359</v>
      </c>
      <c r="K3" s="5">
        <v>279614183</v>
      </c>
      <c r="L3" s="1">
        <v>281621921</v>
      </c>
      <c r="M3" s="1">
        <v>282751512</v>
      </c>
      <c r="N3" s="5">
        <v>289140403</v>
      </c>
      <c r="O3" s="6">
        <v>291802073</v>
      </c>
    </row>
    <row r="4" spans="1:15" ht="12.75">
      <c r="A4" s="73">
        <v>27</v>
      </c>
      <c r="B4" s="1">
        <v>62601911</v>
      </c>
      <c r="C4" s="1">
        <v>61635896</v>
      </c>
      <c r="D4" s="1">
        <v>66148621</v>
      </c>
      <c r="E4" s="5">
        <v>64427548</v>
      </c>
      <c r="F4" s="1">
        <v>66165329</v>
      </c>
      <c r="G4" s="1">
        <v>65409518</v>
      </c>
      <c r="H4" s="5">
        <v>66310178</v>
      </c>
      <c r="I4" s="1">
        <v>66307075</v>
      </c>
      <c r="J4" s="1">
        <v>62396992</v>
      </c>
      <c r="K4" s="5">
        <v>69024228</v>
      </c>
      <c r="L4" s="1">
        <v>69186164</v>
      </c>
      <c r="M4" s="1">
        <v>63739573</v>
      </c>
      <c r="N4" s="5">
        <v>67884205</v>
      </c>
      <c r="O4" s="6">
        <v>70582539</v>
      </c>
    </row>
    <row r="5" spans="1:15" ht="12.75">
      <c r="A5" s="73">
        <v>38</v>
      </c>
      <c r="B5" s="1">
        <v>865154</v>
      </c>
      <c r="C5" s="1">
        <v>936643</v>
      </c>
      <c r="D5" s="1">
        <v>941894</v>
      </c>
      <c r="E5" s="5">
        <v>999647</v>
      </c>
      <c r="F5" s="1">
        <v>1014971</v>
      </c>
      <c r="G5" s="1">
        <v>936910</v>
      </c>
      <c r="H5" s="5">
        <v>1000668</v>
      </c>
      <c r="I5" s="1">
        <v>1000668</v>
      </c>
      <c r="J5" s="1">
        <v>965667</v>
      </c>
      <c r="K5" s="5">
        <v>1010944</v>
      </c>
      <c r="L5" s="1">
        <v>1010944</v>
      </c>
      <c r="M5" s="1">
        <v>4066167</v>
      </c>
      <c r="N5" s="5">
        <v>325204</v>
      </c>
      <c r="O5" s="6">
        <v>265204</v>
      </c>
    </row>
    <row r="6" spans="1:15" ht="12.75">
      <c r="A6" t="s">
        <v>50</v>
      </c>
      <c r="B6" s="1">
        <f>SUM(B3:B5)</f>
        <v>322158484</v>
      </c>
      <c r="C6" s="1">
        <f aca="true" t="shared" si="0" ref="C6:O6">SUM(C3:C5)</f>
        <v>321179255</v>
      </c>
      <c r="D6" s="1">
        <f t="shared" si="0"/>
        <v>332436423</v>
      </c>
      <c r="E6" s="5">
        <f t="shared" si="0"/>
        <v>327176658</v>
      </c>
      <c r="F6" s="1">
        <f t="shared" si="0"/>
        <v>334133022</v>
      </c>
      <c r="G6" s="1">
        <f t="shared" si="0"/>
        <v>338694408</v>
      </c>
      <c r="H6" s="5">
        <f t="shared" si="0"/>
        <v>339060115</v>
      </c>
      <c r="I6" s="1">
        <f t="shared" si="0"/>
        <v>340482319</v>
      </c>
      <c r="J6" s="1">
        <f t="shared" si="0"/>
        <v>340171018</v>
      </c>
      <c r="K6" s="5">
        <f t="shared" si="0"/>
        <v>349649355</v>
      </c>
      <c r="L6" s="1">
        <f t="shared" si="0"/>
        <v>351819029</v>
      </c>
      <c r="M6" s="1">
        <f t="shared" si="0"/>
        <v>350557252</v>
      </c>
      <c r="N6" s="5">
        <f t="shared" si="0"/>
        <v>357349812</v>
      </c>
      <c r="O6" s="6">
        <f t="shared" si="0"/>
        <v>362649816</v>
      </c>
    </row>
    <row r="7" spans="1:15" ht="12.75">
      <c r="A7" s="73" t="s">
        <v>45</v>
      </c>
      <c r="B7" s="1">
        <v>39628960</v>
      </c>
      <c r="C7" s="1">
        <v>39238945</v>
      </c>
      <c r="D7" s="1">
        <v>41208653</v>
      </c>
      <c r="E7" s="5">
        <v>41356430</v>
      </c>
      <c r="F7" s="1">
        <v>41125632</v>
      </c>
      <c r="G7" s="1">
        <v>43660318</v>
      </c>
      <c r="H7" s="5">
        <v>43654445</v>
      </c>
      <c r="I7" s="1">
        <v>43864445</v>
      </c>
      <c r="J7" s="1">
        <v>40023907</v>
      </c>
      <c r="K7" s="5">
        <v>44331339</v>
      </c>
      <c r="L7" s="1">
        <v>47589663</v>
      </c>
      <c r="M7" s="1">
        <v>41387633</v>
      </c>
      <c r="N7" s="5">
        <v>46587497</v>
      </c>
      <c r="O7" s="6">
        <v>47619622</v>
      </c>
    </row>
    <row r="8" spans="1:15" ht="12.75">
      <c r="A8" s="73" t="s">
        <v>46</v>
      </c>
      <c r="B8" s="1">
        <f>+B6-B7</f>
        <v>282529524</v>
      </c>
      <c r="C8" s="1">
        <f aca="true" t="shared" si="1" ref="C8:J8">+C6-C7</f>
        <v>281940310</v>
      </c>
      <c r="D8" s="1">
        <f t="shared" si="1"/>
        <v>291227770</v>
      </c>
      <c r="E8" s="5">
        <f t="shared" si="1"/>
        <v>285820228</v>
      </c>
      <c r="F8" s="1">
        <f t="shared" si="1"/>
        <v>293007390</v>
      </c>
      <c r="G8" s="1">
        <f t="shared" si="1"/>
        <v>295034090</v>
      </c>
      <c r="H8" s="5">
        <f t="shared" si="1"/>
        <v>295405670</v>
      </c>
      <c r="I8" s="1">
        <f t="shared" si="1"/>
        <v>296617874</v>
      </c>
      <c r="J8" s="1">
        <f t="shared" si="1"/>
        <v>300147111</v>
      </c>
      <c r="K8" s="5">
        <f>+K6-K7</f>
        <v>305318016</v>
      </c>
      <c r="L8" s="1">
        <f>+L6-L7</f>
        <v>304229366</v>
      </c>
      <c r="M8" s="1">
        <f>+M6-M7</f>
        <v>309169619</v>
      </c>
      <c r="N8" s="5">
        <f>+N6-N7</f>
        <v>310762315</v>
      </c>
      <c r="O8" s="6">
        <f>+O6-O7</f>
        <v>315030194</v>
      </c>
    </row>
    <row r="9" spans="2:15" ht="12.75">
      <c r="B9" s="1"/>
      <c r="C9" s="1"/>
      <c r="D9" s="1"/>
      <c r="E9" s="78">
        <f>+(E8-B8)/B8</f>
        <v>0.011647292479068488</v>
      </c>
      <c r="F9" s="76">
        <f aca="true" t="shared" si="2" ref="F9:O9">+(F8-C8)/C8</f>
        <v>0.03925327314849019</v>
      </c>
      <c r="G9" s="76">
        <f t="shared" si="2"/>
        <v>0.013069907447356411</v>
      </c>
      <c r="H9" s="78">
        <f t="shared" si="2"/>
        <v>0.03353661169145803</v>
      </c>
      <c r="I9" s="76">
        <f t="shared" si="2"/>
        <v>0.01232216020217101</v>
      </c>
      <c r="J9" s="76">
        <f t="shared" si="2"/>
        <v>0.017330271901799553</v>
      </c>
      <c r="K9" s="78">
        <f t="shared" si="2"/>
        <v>0.03355502959709609</v>
      </c>
      <c r="L9" s="76">
        <f t="shared" si="2"/>
        <v>0.025660935052079836</v>
      </c>
      <c r="M9" s="76">
        <f t="shared" si="2"/>
        <v>0.030060286004218777</v>
      </c>
      <c r="N9" s="78">
        <f t="shared" si="2"/>
        <v>0.017831568118142103</v>
      </c>
      <c r="O9" s="80">
        <f t="shared" si="2"/>
        <v>0.03550225325716913</v>
      </c>
    </row>
    <row r="10" spans="2:1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</sheetData>
  <mergeCells count="1">
    <mergeCell ref="N1:O1"/>
  </mergeCells>
  <printOptions/>
  <pageMargins left="0.75" right="0.75" top="1" bottom="1" header="0.5" footer="0.5"/>
  <pageSetup fitToHeight="1" fitToWidth="1" horizontalDpi="600" verticalDpi="600" orientation="landscape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b721467</dc:creator>
  <cp:keywords/>
  <dc:description/>
  <cp:lastModifiedBy>b718768</cp:lastModifiedBy>
  <cp:lastPrinted>2008-08-04T15:47:40Z</cp:lastPrinted>
  <dcterms:created xsi:type="dcterms:W3CDTF">2007-04-26T17:40:27Z</dcterms:created>
  <dcterms:modified xsi:type="dcterms:W3CDTF">2008-09-30T14:31:48Z</dcterms:modified>
  <cp:category/>
  <cp:version/>
  <cp:contentType/>
  <cp:contentStatus/>
</cp:coreProperties>
</file>